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d.docs.live.net/1b4aa9cf89aacaa2/Documents/Anarea/Web/Systems/"/>
    </mc:Choice>
  </mc:AlternateContent>
  <xr:revisionPtr revIDLastSave="0" documentId="8_{3B5F92C1-6B96-4FC4-9725-134323FC286F}" xr6:coauthVersionLast="47" xr6:coauthVersionMax="47" xr10:uidLastSave="{00000000-0000-0000-0000-000000000000}"/>
  <bookViews>
    <workbookView xWindow="40305" yWindow="960" windowWidth="35250" windowHeight="19695" tabRatio="861" xr2:uid="{00000000-000D-0000-FFFF-FFFF00000000}"/>
  </bookViews>
  <sheets>
    <sheet name="Characteristics &amp; Experience" sheetId="23" r:id="rId1"/>
    <sheet name="Personality" sheetId="22" r:id="rId2"/>
    <sheet name="Fighter Abilities" sheetId="17" r:id="rId3"/>
    <sheet name="Thief Abilities" sheetId="18" r:id="rId4"/>
    <sheet name="Clerical Abilities" sheetId="21" r:id="rId5"/>
    <sheet name="Druidic Abilities" sheetId="20" r:id="rId6"/>
    <sheet name="Elementalist Abilities" sheetId="19" r:id="rId7"/>
    <sheet name="Powers" sheetId="11" r:id="rId8"/>
    <sheet name="Possessions" sheetId="9" r:id="rId9"/>
    <sheet name="User ScratchPad" sheetId="16" r:id="rId10"/>
    <sheet name="Ft Weapons" sheetId="12" r:id="rId11"/>
    <sheet name="Size &amp; Armour" sheetId="13" r:id="rId12"/>
    <sheet name="SMs" sheetId="14" r:id="rId13"/>
    <sheet name="Ft St &amp; DxN" sheetId="15" r:id="rId14"/>
  </sheets>
  <definedNames>
    <definedName name="Alignment">'Characteristics &amp; Experience'!$C$32</definedName>
    <definedName name="At">'Characteristics &amp; Experience'!$D$18</definedName>
    <definedName name="Bd">'Characteristics &amp; Experience'!$B$17</definedName>
    <definedName name="Bt">'Characteristics &amp; Experience'!$B$18</definedName>
    <definedName name="Carrying_Capacity">Possessions!$K$74</definedName>
    <definedName name="ClL">'Characteristics &amp; Experience'!$B$24</definedName>
    <definedName name="Co">'Characteristics &amp; Experience'!$B$15</definedName>
    <definedName name="Credit">'Characteristics &amp; Experience'!$F$24</definedName>
    <definedName name="Date">'Characteristics &amp; Experience'!$C$21</definedName>
    <definedName name="DrL">'Characteristics &amp; Experience'!$B$25</definedName>
    <definedName name="Dx_M">'Characteristics &amp; Experience'!$F$13</definedName>
    <definedName name="Dx_Ph">'Characteristics &amp; Experience'!$B$13</definedName>
    <definedName name="Dx_Ph_Penalty">'Fighter Abilities'!$I$7</definedName>
    <definedName name="ElL">'Characteristics &amp; Experience'!$B$26</definedName>
    <definedName name="Encumbrance_Armour">Possessions!$K$17</definedName>
    <definedName name="Encumbrance_Total">Possessions!$K$73</definedName>
    <definedName name="Ft">'Characteristics &amp; Experience'!$F$16</definedName>
    <definedName name="FtGod">'Characteristics &amp; Experience'!$G$16</definedName>
    <definedName name="FtL">'Characteristics &amp; Experience'!$B$22</definedName>
    <definedName name="God">'Characteristics &amp; Experience'!$I$16</definedName>
    <definedName name="Hd">'Characteristics &amp; Experience'!$B$14</definedName>
    <definedName name="Hd___R">'Characteristics &amp; Experience'!$B$14</definedName>
    <definedName name="HP">'Characteristics &amp; Experience'!$H$22</definedName>
    <definedName name="HPs_SPs_rolls_per_level">'Characteristics &amp; Experience'!$B$66:$O$68</definedName>
    <definedName name="Hr">'Characteristics &amp; Experience'!$D$13</definedName>
    <definedName name="In">'Characteristics &amp; Experience'!$F$12</definedName>
    <definedName name="Mr">'Characteristics &amp; Experience'!$F$14</definedName>
    <definedName name="MUL">'Characteristics &amp; Experience'!$D$29</definedName>
    <definedName name="Name">'Characteristics &amp; Experience'!$C$3</definedName>
    <definedName name="Nt">'Characteristics &amp; Experience'!$F$17</definedName>
    <definedName name="PlL">'Characteristics &amp; Experience'!$D$23</definedName>
    <definedName name="_xlnm.Print_Area" localSheetId="0">'Characteristics &amp; Experience'!$A$1:$I$33</definedName>
    <definedName name="_xlnm.Print_Area" localSheetId="2">'Fighter Abilities'!$A$1</definedName>
    <definedName name="_xlnm.Print_Area" localSheetId="8">Possessions!$A$1:$K$74</definedName>
    <definedName name="Race">'Characteristics &amp; Experience'!$C$5</definedName>
    <definedName name="Selected_Melee_Weapons">'Fighter Abilities'!$A$13:$Y$18</definedName>
    <definedName name="Sex">'Characteristics &amp; Experience'!$F$5</definedName>
    <definedName name="Sg">'Characteristics &amp; Experience'!$D$12</definedName>
    <definedName name="Sm">'Characteristics &amp; Experience'!$D$15</definedName>
    <definedName name="SP">'Characteristics &amp; Experience'!$H$23</definedName>
    <definedName name="St">'Characteristics &amp; Experience'!$B$12</definedName>
    <definedName name="Switch_Weapon_Shield_Hands">'Fighter Abilities'!$F$4</definedName>
    <definedName name="Sz">'Characteristics &amp; Experience'!$B$16</definedName>
    <definedName name="TABLE" localSheetId="11">'Size &amp; Armour'!$A$1:$F$6</definedName>
    <definedName name="TABLE_2" localSheetId="11">'Size &amp; Armour'!$A$9:$K$25</definedName>
    <definedName name="TABLE_3" localSheetId="11">'Size &amp; Armour'!$A$26:$M$40</definedName>
    <definedName name="TABLE_4" localSheetId="11">'Size &amp; Armour'!$M$13:$U$25</definedName>
    <definedName name="Tc">'Characteristics &amp; Experience'!$D$14</definedName>
    <definedName name="ThL">'Characteristics &amp; Experience'!$B$23</definedName>
    <definedName name="Ts">'Characteristics &amp; Experience'!$D$16</definedName>
    <definedName name="ULT_Mod">'Characteristics &amp; Experience'!$B$60</definedName>
    <definedName name="USLs">'Characteristics &amp; Experience'!$F$27</definedName>
    <definedName name="Wp">'Characteristics &amp; Experience'!$F$15</definedName>
    <definedName name="Wp_Battles_Defensive_Table">'Characteristics &amp; Experience'!$J$15:$K$25</definedName>
  </definedNames>
  <calcPr calcId="191028"/>
  <customWorkbookViews>
    <customWorkbookView name="Philip Wild - Personal View" guid="{6E0596E0-7AAC-11D3-8E0C-A109A57C585F}" mergeInterval="0" personalView="1" maximized="1" windowWidth="1062" windowHeight="611" tabRatio="861" activeSheetId="1"/>
    <customWorkbookView name="Andy Murray - Personal View" guid="{2B24E441-7B04-11D3-A790-0080C889BEB8}" mergeInterval="0" personalView="1" maximized="1" windowWidth="796" windowHeight="438" tabRatio="861" activeSheetId="5"/>
    <customWorkbookView name="Novus, Inc. - Personal View" guid="{B970B037-7B70-11D3-8BF1-00A024B0442F}" mergeInterval="0" personalView="1" maximized="1" windowWidth="636" windowHeight="318" tabRatio="861" activeSheetId="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 i="21" l="1"/>
  <c r="K67" i="21"/>
  <c r="K59" i="21"/>
  <c r="K55" i="21"/>
  <c r="G53" i="18"/>
  <c r="I22" i="17"/>
  <c r="I38" i="17"/>
  <c r="I3" i="18"/>
  <c r="B19" i="23"/>
  <c r="D19" i="23"/>
  <c r="D23" i="23"/>
  <c r="D29" i="23"/>
  <c r="G29" i="23"/>
  <c r="H29" i="23"/>
  <c r="G30" i="23"/>
  <c r="H30" i="23"/>
  <c r="I15" i="23" s="1"/>
  <c r="E31" i="23"/>
  <c r="F31" i="23"/>
  <c r="G31" i="23"/>
  <c r="H31" i="23"/>
  <c r="G32" i="23"/>
  <c r="H32" i="23"/>
  <c r="I40" i="23"/>
  <c r="G41" i="23"/>
  <c r="I41" i="23"/>
  <c r="G42" i="23"/>
  <c r="I42" i="23"/>
  <c r="I43" i="23"/>
  <c r="I44" i="23"/>
  <c r="G45" i="23"/>
  <c r="G44" i="23" s="1"/>
  <c r="I45" i="23"/>
  <c r="G46" i="23"/>
  <c r="I46" i="23"/>
  <c r="I47" i="23"/>
  <c r="I48" i="23"/>
  <c r="I49" i="23"/>
  <c r="I50" i="23"/>
  <c r="I51" i="23"/>
  <c r="I52" i="23"/>
  <c r="I53" i="23"/>
  <c r="G54" i="23"/>
  <c r="I54" i="23"/>
  <c r="I55" i="23"/>
  <c r="I57" i="23"/>
  <c r="I58" i="23"/>
  <c r="I59" i="23"/>
  <c r="I60" i="23"/>
  <c r="I61" i="23"/>
  <c r="I62" i="23"/>
  <c r="I63" i="23"/>
  <c r="C66" i="23"/>
  <c r="D66" i="23"/>
  <c r="D69" i="23" s="1"/>
  <c r="E66" i="23"/>
  <c r="F67" i="23" s="1"/>
  <c r="F66" i="23"/>
  <c r="F69" i="23" s="1"/>
  <c r="G66" i="23"/>
  <c r="H67" i="23" s="1"/>
  <c r="H66" i="23"/>
  <c r="H69" i="23" s="1"/>
  <c r="I66" i="23"/>
  <c r="J66" i="23" s="1"/>
  <c r="B67" i="23"/>
  <c r="C67" i="23"/>
  <c r="B68" i="23"/>
  <c r="C68" i="23"/>
  <c r="B69" i="23"/>
  <c r="A1" i="22"/>
  <c r="E1" i="22"/>
  <c r="A1" i="21"/>
  <c r="C1" i="21"/>
  <c r="K2" i="21"/>
  <c r="L2" i="21" s="1"/>
  <c r="I3" i="21"/>
  <c r="I4" i="21" s="1"/>
  <c r="K3" i="21"/>
  <c r="B4" i="21"/>
  <c r="C4" i="21"/>
  <c r="K4" i="21"/>
  <c r="L4" i="21" s="1"/>
  <c r="K5" i="21"/>
  <c r="L5" i="21" s="1"/>
  <c r="K7" i="21"/>
  <c r="K8" i="21"/>
  <c r="L8" i="21" s="1"/>
  <c r="K9" i="21"/>
  <c r="L9" i="21" s="1"/>
  <c r="K10" i="21"/>
  <c r="L10" i="21" s="1"/>
  <c r="K11" i="21"/>
  <c r="K12" i="21"/>
  <c r="L12" i="21" s="1"/>
  <c r="K13" i="21"/>
  <c r="K14" i="21"/>
  <c r="L14" i="21" s="1"/>
  <c r="K15" i="21"/>
  <c r="K16" i="21"/>
  <c r="K17" i="21"/>
  <c r="K18" i="21"/>
  <c r="K19" i="21"/>
  <c r="K20" i="21"/>
  <c r="L20" i="21" s="1"/>
  <c r="K21" i="21"/>
  <c r="K22" i="21"/>
  <c r="K23" i="21"/>
  <c r="K24" i="21"/>
  <c r="L24" i="21" s="1"/>
  <c r="K25" i="21"/>
  <c r="K26" i="21"/>
  <c r="K27" i="21"/>
  <c r="L27" i="21" s="1"/>
  <c r="K28" i="21"/>
  <c r="K29" i="21"/>
  <c r="K30" i="21"/>
  <c r="L30" i="21" s="1"/>
  <c r="K31" i="21"/>
  <c r="L31" i="21" s="1"/>
  <c r="K32" i="21"/>
  <c r="K33" i="21"/>
  <c r="K34" i="21"/>
  <c r="K35" i="21"/>
  <c r="L35" i="21" s="1"/>
  <c r="K36" i="21"/>
  <c r="K37" i="21"/>
  <c r="K38" i="21"/>
  <c r="K39" i="21"/>
  <c r="K40" i="21"/>
  <c r="L40" i="21" s="1"/>
  <c r="K41" i="21"/>
  <c r="L41" i="21" s="1"/>
  <c r="K42" i="21"/>
  <c r="L42" i="21" s="1"/>
  <c r="K43" i="21"/>
  <c r="L43" i="21" s="1"/>
  <c r="K44" i="21"/>
  <c r="K45" i="21"/>
  <c r="K46" i="21"/>
  <c r="K47" i="21"/>
  <c r="L47" i="21" s="1"/>
  <c r="K48" i="21"/>
  <c r="K49" i="21"/>
  <c r="K50" i="21"/>
  <c r="K51" i="21"/>
  <c r="L51" i="21" s="1"/>
  <c r="K52" i="21"/>
  <c r="K53" i="21"/>
  <c r="K54" i="21"/>
  <c r="K56" i="21"/>
  <c r="K57" i="21"/>
  <c r="K58" i="21"/>
  <c r="K60" i="21"/>
  <c r="K61" i="21"/>
  <c r="K62" i="21"/>
  <c r="K63" i="21"/>
  <c r="K64" i="21"/>
  <c r="K65" i="21"/>
  <c r="K66" i="21"/>
  <c r="K68" i="21"/>
  <c r="K69" i="21"/>
  <c r="K70" i="21"/>
  <c r="K71" i="21"/>
  <c r="L71" i="21" s="1"/>
  <c r="K72" i="21"/>
  <c r="K73" i="21"/>
  <c r="K74" i="21"/>
  <c r="K75" i="21"/>
  <c r="K76" i="21"/>
  <c r="K77" i="21"/>
  <c r="K78" i="21"/>
  <c r="K79" i="21"/>
  <c r="K80" i="21"/>
  <c r="L80" i="21" s="1"/>
  <c r="K81" i="21"/>
  <c r="L81" i="21" s="1"/>
  <c r="K82" i="21"/>
  <c r="K83" i="21"/>
  <c r="K84" i="21"/>
  <c r="K85" i="21"/>
  <c r="K86" i="21"/>
  <c r="K87" i="21"/>
  <c r="D89" i="21"/>
  <c r="D90" i="21" s="1"/>
  <c r="F26" i="23" s="1"/>
  <c r="A1" i="20"/>
  <c r="D1" i="20"/>
  <c r="H3" i="20"/>
  <c r="K7" i="20"/>
  <c r="C10" i="20"/>
  <c r="K25" i="20"/>
  <c r="F30" i="20"/>
  <c r="K40" i="20"/>
  <c r="K44" i="20"/>
  <c r="F43" i="20"/>
  <c r="K52" i="20"/>
  <c r="F55" i="20"/>
  <c r="K59" i="20"/>
  <c r="K62" i="20"/>
  <c r="F70" i="20"/>
  <c r="F86" i="20"/>
  <c r="F96" i="20"/>
  <c r="F107" i="20"/>
  <c r="F119" i="20"/>
  <c r="F125" i="20"/>
  <c r="F126" i="20"/>
  <c r="F130" i="20"/>
  <c r="G131" i="20"/>
  <c r="A1" i="19"/>
  <c r="E1" i="19"/>
  <c r="H3" i="19"/>
  <c r="C5" i="19"/>
  <c r="E13" i="19"/>
  <c r="E27" i="19" s="1"/>
  <c r="G13" i="19"/>
  <c r="E14" i="19"/>
  <c r="G14" i="19"/>
  <c r="E15" i="19"/>
  <c r="G15" i="19"/>
  <c r="E16" i="19"/>
  <c r="G16" i="19"/>
  <c r="E17" i="19"/>
  <c r="G17" i="19"/>
  <c r="E18" i="19"/>
  <c r="G18" i="19"/>
  <c r="E19" i="19"/>
  <c r="G19" i="19"/>
  <c r="E20" i="19"/>
  <c r="G20" i="19"/>
  <c r="E21" i="19"/>
  <c r="G21" i="19"/>
  <c r="E22" i="19"/>
  <c r="G22" i="19"/>
  <c r="B24" i="19"/>
  <c r="D27" i="19"/>
  <c r="A1" i="18"/>
  <c r="E1" i="18"/>
  <c r="H7" i="18"/>
  <c r="C10" i="18"/>
  <c r="C11" i="18"/>
  <c r="C12" i="18" s="1"/>
  <c r="G11" i="18"/>
  <c r="B12" i="18"/>
  <c r="G12" i="18"/>
  <c r="G13" i="18"/>
  <c r="G14" i="18"/>
  <c r="G15" i="18"/>
  <c r="G16" i="18"/>
  <c r="G17" i="18"/>
  <c r="L92" i="18"/>
  <c r="L93" i="18" s="1"/>
  <c r="C18" i="18"/>
  <c r="C19" i="18" s="1"/>
  <c r="G18" i="18"/>
  <c r="B19" i="18"/>
  <c r="G19" i="18"/>
  <c r="L94" i="18"/>
  <c r="L95" i="18" s="1"/>
  <c r="L96" i="18" s="1"/>
  <c r="L97" i="18" s="1"/>
  <c r="L98" i="18" s="1"/>
  <c r="L99" i="18" s="1"/>
  <c r="L100" i="18" s="1"/>
  <c r="L101" i="18" s="1"/>
  <c r="L102" i="18" s="1"/>
  <c r="L103" i="18" s="1"/>
  <c r="L104" i="18" s="1"/>
  <c r="L105" i="18" s="1"/>
  <c r="L106" i="18" s="1"/>
  <c r="L107" i="18" s="1"/>
  <c r="L108" i="18" s="1"/>
  <c r="L109" i="18" s="1"/>
  <c r="L110" i="18" s="1"/>
  <c r="L111" i="18" s="1"/>
  <c r="L112" i="18" s="1"/>
  <c r="L113" i="18" s="1"/>
  <c r="L114" i="18" s="1"/>
  <c r="L115" i="18" s="1"/>
  <c r="L116" i="18" s="1"/>
  <c r="L117" i="18" s="1"/>
  <c r="L118" i="18" s="1"/>
  <c r="L119" i="18" s="1"/>
  <c r="L120" i="18" s="1"/>
  <c r="L121" i="18" s="1"/>
  <c r="L122" i="18" s="1"/>
  <c r="L123" i="18" s="1"/>
  <c r="L124" i="18" s="1"/>
  <c r="L125" i="18" s="1"/>
  <c r="L126" i="18" s="1"/>
  <c r="L127" i="18" s="1"/>
  <c r="L128" i="18" s="1"/>
  <c r="L129" i="18" s="1"/>
  <c r="L130" i="18" s="1"/>
  <c r="L131" i="18" s="1"/>
  <c r="L132" i="18" s="1"/>
  <c r="L133" i="18" s="1"/>
  <c r="L134" i="18" s="1"/>
  <c r="L135" i="18" s="1"/>
  <c r="L136" i="18" s="1"/>
  <c r="L137" i="18" s="1"/>
  <c r="L138" i="18" s="1"/>
  <c r="L139" i="18" s="1"/>
  <c r="L140" i="18" s="1"/>
  <c r="L141" i="18" s="1"/>
  <c r="L142" i="18" s="1"/>
  <c r="L143" i="18" s="1"/>
  <c r="L144" i="18" s="1"/>
  <c r="L145" i="18" s="1"/>
  <c r="L146" i="18" s="1"/>
  <c r="L147" i="18" s="1"/>
  <c r="L148" i="18" s="1"/>
  <c r="L149" i="18" s="1"/>
  <c r="G20" i="18"/>
  <c r="G21" i="18"/>
  <c r="G22" i="18"/>
  <c r="G23" i="18"/>
  <c r="G24" i="18"/>
  <c r="M99" i="18"/>
  <c r="G25" i="18"/>
  <c r="G26" i="18"/>
  <c r="G27" i="18"/>
  <c r="C28" i="18"/>
  <c r="C29" i="18" s="1"/>
  <c r="G28" i="18"/>
  <c r="B29" i="18"/>
  <c r="G29" i="18"/>
  <c r="G30" i="18"/>
  <c r="G31" i="18"/>
  <c r="N106" i="18"/>
  <c r="N107" i="18" s="1"/>
  <c r="N108" i="18" s="1"/>
  <c r="N109" i="18" s="1"/>
  <c r="N110" i="18" s="1"/>
  <c r="N111" i="18" s="1"/>
  <c r="N112" i="18" s="1"/>
  <c r="N113" i="18" s="1"/>
  <c r="N114" i="18" s="1"/>
  <c r="N115" i="18" s="1"/>
  <c r="N116" i="18" s="1"/>
  <c r="N117" i="18" s="1"/>
  <c r="N118" i="18" s="1"/>
  <c r="N119" i="18" s="1"/>
  <c r="N120" i="18" s="1"/>
  <c r="N121" i="18" s="1"/>
  <c r="N122" i="18" s="1"/>
  <c r="N123" i="18" s="1"/>
  <c r="N124" i="18" s="1"/>
  <c r="N125" i="18" s="1"/>
  <c r="N126" i="18" s="1"/>
  <c r="N127" i="18" s="1"/>
  <c r="N128" i="18" s="1"/>
  <c r="N129" i="18" s="1"/>
  <c r="N130" i="18" s="1"/>
  <c r="N131" i="18" s="1"/>
  <c r="N132" i="18" s="1"/>
  <c r="N133" i="18" s="1"/>
  <c r="N134" i="18" s="1"/>
  <c r="N135" i="18" s="1"/>
  <c r="N136" i="18" s="1"/>
  <c r="N137" i="18" s="1"/>
  <c r="N138" i="18" s="1"/>
  <c r="N139" i="18" s="1"/>
  <c r="N140" i="18" s="1"/>
  <c r="N141" i="18" s="1"/>
  <c r="N142" i="18" s="1"/>
  <c r="N143" i="18" s="1"/>
  <c r="N144" i="18" s="1"/>
  <c r="N145" i="18" s="1"/>
  <c r="N146" i="18" s="1"/>
  <c r="N147" i="18" s="1"/>
  <c r="N148" i="18" s="1"/>
  <c r="N149" i="18" s="1"/>
  <c r="G32" i="18"/>
  <c r="G33" i="18"/>
  <c r="G34" i="18"/>
  <c r="G35" i="18"/>
  <c r="G36" i="18"/>
  <c r="G37" i="18"/>
  <c r="G38" i="18"/>
  <c r="O113" i="18"/>
  <c r="O114" i="18" s="1"/>
  <c r="O115" i="18" s="1"/>
  <c r="O116" i="18" s="1"/>
  <c r="O117" i="18" s="1"/>
  <c r="O118" i="18" s="1"/>
  <c r="O119" i="18" s="1"/>
  <c r="O120" i="18" s="1"/>
  <c r="O121" i="18" s="1"/>
  <c r="O122" i="18" s="1"/>
  <c r="O123" i="18" s="1"/>
  <c r="O124" i="18" s="1"/>
  <c r="O125" i="18" s="1"/>
  <c r="O126" i="18" s="1"/>
  <c r="O127" i="18" s="1"/>
  <c r="O128" i="18" s="1"/>
  <c r="O129" i="18" s="1"/>
  <c r="O130" i="18" s="1"/>
  <c r="O131" i="18" s="1"/>
  <c r="O132" i="18" s="1"/>
  <c r="O133" i="18" s="1"/>
  <c r="O134" i="18" s="1"/>
  <c r="O135" i="18" s="1"/>
  <c r="O136" i="18" s="1"/>
  <c r="O137" i="18" s="1"/>
  <c r="O138" i="18" s="1"/>
  <c r="O139" i="18" s="1"/>
  <c r="O140" i="18" s="1"/>
  <c r="O141" i="18" s="1"/>
  <c r="O142" i="18" s="1"/>
  <c r="O143" i="18" s="1"/>
  <c r="O144" i="18" s="1"/>
  <c r="O145" i="18" s="1"/>
  <c r="O146" i="18" s="1"/>
  <c r="O147" i="18" s="1"/>
  <c r="O148" i="18" s="1"/>
  <c r="O149" i="18" s="1"/>
  <c r="G39" i="18"/>
  <c r="G40" i="18"/>
  <c r="G41" i="18"/>
  <c r="G42" i="18"/>
  <c r="G43" i="18"/>
  <c r="G44" i="18"/>
  <c r="G45" i="18"/>
  <c r="P120" i="18"/>
  <c r="P121" i="18" s="1"/>
  <c r="P122" i="18" s="1"/>
  <c r="P123" i="18" s="1"/>
  <c r="P124" i="18" s="1"/>
  <c r="P125" i="18" s="1"/>
  <c r="P126" i="18" s="1"/>
  <c r="P127" i="18" s="1"/>
  <c r="P128" i="18" s="1"/>
  <c r="P129" i="18" s="1"/>
  <c r="P130" i="18" s="1"/>
  <c r="P131" i="18" s="1"/>
  <c r="P132" i="18" s="1"/>
  <c r="P133" i="18" s="1"/>
  <c r="P134" i="18" s="1"/>
  <c r="P135" i="18" s="1"/>
  <c r="P136" i="18" s="1"/>
  <c r="P137" i="18" s="1"/>
  <c r="P138" i="18" s="1"/>
  <c r="P139" i="18" s="1"/>
  <c r="P140" i="18" s="1"/>
  <c r="P141" i="18" s="1"/>
  <c r="P142" i="18" s="1"/>
  <c r="P143" i="18" s="1"/>
  <c r="P144" i="18" s="1"/>
  <c r="P145" i="18" s="1"/>
  <c r="P146" i="18" s="1"/>
  <c r="P147" i="18" s="1"/>
  <c r="P148" i="18" s="1"/>
  <c r="P149" i="18" s="1"/>
  <c r="G46" i="18"/>
  <c r="G47" i="18"/>
  <c r="G48" i="18"/>
  <c r="G49" i="18"/>
  <c r="G50" i="18"/>
  <c r="G52" i="18"/>
  <c r="Q127" i="18"/>
  <c r="Q128" i="18" s="1"/>
  <c r="C54" i="18"/>
  <c r="C55" i="18" s="1"/>
  <c r="G54" i="18"/>
  <c r="B55" i="18"/>
  <c r="G55" i="18"/>
  <c r="Q129" i="18"/>
  <c r="Q130" i="18" s="1"/>
  <c r="Q131" i="18" s="1"/>
  <c r="Q132" i="18" s="1"/>
  <c r="Q133" i="18" s="1"/>
  <c r="Q134" i="18" s="1"/>
  <c r="Q135" i="18" s="1"/>
  <c r="Q136" i="18" s="1"/>
  <c r="Q137" i="18" s="1"/>
  <c r="Q138" i="18" s="1"/>
  <c r="Q139" i="18" s="1"/>
  <c r="Q140" i="18" s="1"/>
  <c r="Q141" i="18" s="1"/>
  <c r="Q142" i="18" s="1"/>
  <c r="Q143" i="18" s="1"/>
  <c r="Q144" i="18" s="1"/>
  <c r="Q145" i="18" s="1"/>
  <c r="Q146" i="18" s="1"/>
  <c r="Q147" i="18" s="1"/>
  <c r="Q148" i="18" s="1"/>
  <c r="Q149" i="18" s="1"/>
  <c r="G56" i="18"/>
  <c r="G57" i="18"/>
  <c r="G58" i="18"/>
  <c r="G59" i="18"/>
  <c r="G60" i="18"/>
  <c r="R134" i="18"/>
  <c r="R135" i="18" s="1"/>
  <c r="R136" i="18" s="1"/>
  <c r="R137" i="18" s="1"/>
  <c r="R138" i="18" s="1"/>
  <c r="R139" i="18" s="1"/>
  <c r="R140" i="18" s="1"/>
  <c r="R141" i="18" s="1"/>
  <c r="R142" i="18" s="1"/>
  <c r="R143" i="18" s="1"/>
  <c r="R144" i="18" s="1"/>
  <c r="R145" i="18" s="1"/>
  <c r="R146" i="18" s="1"/>
  <c r="R147" i="18" s="1"/>
  <c r="R148" i="18" s="1"/>
  <c r="R149" i="18" s="1"/>
  <c r="G61" i="18"/>
  <c r="C62" i="18"/>
  <c r="C63" i="18" s="1"/>
  <c r="G62" i="18"/>
  <c r="B63" i="18"/>
  <c r="G63" i="18"/>
  <c r="G64" i="18"/>
  <c r="G65" i="18"/>
  <c r="G66" i="18"/>
  <c r="G67" i="18"/>
  <c r="S141" i="18"/>
  <c r="S142" i="18" s="1"/>
  <c r="S143" i="18" s="1"/>
  <c r="S144" i="18" s="1"/>
  <c r="S145" i="18" s="1"/>
  <c r="S146" i="18" s="1"/>
  <c r="S147" i="18" s="1"/>
  <c r="S148" i="18" s="1"/>
  <c r="S149" i="18" s="1"/>
  <c r="C68" i="18"/>
  <c r="C69" i="18" s="1"/>
  <c r="G68" i="18"/>
  <c r="B69" i="18"/>
  <c r="G69" i="18"/>
  <c r="G70" i="18"/>
  <c r="G71" i="18"/>
  <c r="G72" i="18"/>
  <c r="G73" i="18"/>
  <c r="G74" i="18"/>
  <c r="C76" i="18"/>
  <c r="F76" i="18"/>
  <c r="A1" i="17"/>
  <c r="D1" i="17"/>
  <c r="I3" i="17"/>
  <c r="I4" i="17"/>
  <c r="G5" i="17"/>
  <c r="G6" i="17"/>
  <c r="P13" i="17"/>
  <c r="S13" i="17"/>
  <c r="K13" i="17" s="1"/>
  <c r="V13" i="17"/>
  <c r="P14" i="17"/>
  <c r="S14" i="17"/>
  <c r="H14" i="17" s="1"/>
  <c r="V14" i="17"/>
  <c r="S15" i="17"/>
  <c r="K16" i="17"/>
  <c r="S16" i="17"/>
  <c r="H16" i="17" s="1"/>
  <c r="V16" i="17"/>
  <c r="A17" i="17"/>
  <c r="E17" i="17"/>
  <c r="H17" i="17"/>
  <c r="J17" i="17"/>
  <c r="L17" i="17"/>
  <c r="P17" i="17"/>
  <c r="S17" i="17"/>
  <c r="K17" i="17" s="1"/>
  <c r="V17" i="17"/>
  <c r="P18" i="17"/>
  <c r="S18" i="17"/>
  <c r="E18" i="17" s="1"/>
  <c r="V18" i="17"/>
  <c r="S22" i="17"/>
  <c r="H22" i="17" s="1"/>
  <c r="G26" i="17"/>
  <c r="P26" i="17"/>
  <c r="S26" i="17"/>
  <c r="A26" i="17" s="1"/>
  <c r="V26" i="17"/>
  <c r="W26" i="17"/>
  <c r="G27" i="17"/>
  <c r="S27" i="17"/>
  <c r="J27" i="17" s="1"/>
  <c r="V27" i="17"/>
  <c r="W27" i="17"/>
  <c r="F30" i="17"/>
  <c r="A31" i="17"/>
  <c r="F31" i="17"/>
  <c r="H31" i="17"/>
  <c r="H38" i="17" s="1"/>
  <c r="F32" i="17"/>
  <c r="H32" i="17"/>
  <c r="F33" i="17"/>
  <c r="H33" i="17"/>
  <c r="A34" i="17"/>
  <c r="F34" i="17"/>
  <c r="H34" i="17"/>
  <c r="A35" i="17"/>
  <c r="F35" i="17"/>
  <c r="H35" i="17"/>
  <c r="F36" i="17"/>
  <c r="H36" i="17"/>
  <c r="F37" i="17"/>
  <c r="H37" i="17"/>
  <c r="F22" i="9"/>
  <c r="D22" i="9"/>
  <c r="B18" i="23" l="1"/>
  <c r="C46" i="23" s="1"/>
  <c r="F16" i="23"/>
  <c r="C57" i="23" s="1"/>
  <c r="D16" i="23"/>
  <c r="B51" i="23" s="1"/>
  <c r="D15" i="23"/>
  <c r="B50" i="23" s="1"/>
  <c r="B16" i="23"/>
  <c r="B44" i="23" s="1"/>
  <c r="F17" i="23"/>
  <c r="B58" i="23" s="1"/>
  <c r="G47" i="23"/>
  <c r="F12" i="23" s="1"/>
  <c r="F15" i="23"/>
  <c r="G15" i="23" s="1"/>
  <c r="B15" i="23"/>
  <c r="C43" i="23" s="1"/>
  <c r="F14" i="23"/>
  <c r="F25" i="23" s="1"/>
  <c r="F27" i="23" s="1"/>
  <c r="G43" i="23"/>
  <c r="A14" i="23" s="1"/>
  <c r="B5" i="21"/>
  <c r="E22" i="17"/>
  <c r="X22" i="17"/>
  <c r="W22" i="17"/>
  <c r="A22" i="17"/>
  <c r="V22" i="17"/>
  <c r="B12" i="23"/>
  <c r="B41" i="23" s="1"/>
  <c r="K66" i="23"/>
  <c r="J69" i="23"/>
  <c r="K67" i="23"/>
  <c r="K68" i="23"/>
  <c r="G56" i="23" s="1"/>
  <c r="P69" i="23" s="1"/>
  <c r="L68" i="23"/>
  <c r="J68" i="23"/>
  <c r="I68" i="23"/>
  <c r="H68" i="23"/>
  <c r="D68" i="23"/>
  <c r="J67" i="23"/>
  <c r="D67" i="23"/>
  <c r="F13" i="23"/>
  <c r="D13" i="23"/>
  <c r="B13" i="23"/>
  <c r="F68" i="23"/>
  <c r="I69" i="23"/>
  <c r="I67" i="23"/>
  <c r="G55" i="23" s="1"/>
  <c r="P67" i="23" s="1"/>
  <c r="G57" i="23" s="1"/>
  <c r="G22" i="23" s="1"/>
  <c r="G69" i="23"/>
  <c r="E69" i="23"/>
  <c r="D14" i="23"/>
  <c r="C69" i="23"/>
  <c r="D12" i="23"/>
  <c r="G68" i="23"/>
  <c r="E68" i="23"/>
  <c r="G67" i="23"/>
  <c r="E67" i="23"/>
  <c r="F131" i="20"/>
  <c r="M100" i="18"/>
  <c r="M101" i="18" s="1"/>
  <c r="M102" i="18" s="1"/>
  <c r="M103" i="18" s="1"/>
  <c r="M104" i="18" s="1"/>
  <c r="M105" i="18" s="1"/>
  <c r="M106" i="18" s="1"/>
  <c r="M107" i="18" s="1"/>
  <c r="M108" i="18" s="1"/>
  <c r="M109" i="18" s="1"/>
  <c r="M110" i="18" s="1"/>
  <c r="M111" i="18" s="1"/>
  <c r="M112" i="18" s="1"/>
  <c r="M113" i="18" s="1"/>
  <c r="M114" i="18" s="1"/>
  <c r="M115" i="18" s="1"/>
  <c r="M116" i="18" s="1"/>
  <c r="M117" i="18" s="1"/>
  <c r="M118" i="18" s="1"/>
  <c r="M119" i="18" s="1"/>
  <c r="M120" i="18" s="1"/>
  <c r="M121" i="18" s="1"/>
  <c r="M122" i="18" s="1"/>
  <c r="M123" i="18" s="1"/>
  <c r="M124" i="18" s="1"/>
  <c r="M125" i="18" s="1"/>
  <c r="M126" i="18" s="1"/>
  <c r="M127" i="18" s="1"/>
  <c r="M128" i="18" s="1"/>
  <c r="M129" i="18" s="1"/>
  <c r="M130" i="18" s="1"/>
  <c r="M131" i="18" s="1"/>
  <c r="M132" i="18" s="1"/>
  <c r="M133" i="18" s="1"/>
  <c r="M134" i="18" s="1"/>
  <c r="M135" i="18" s="1"/>
  <c r="M136" i="18" s="1"/>
  <c r="M137" i="18" s="1"/>
  <c r="M138" i="18" s="1"/>
  <c r="M139" i="18" s="1"/>
  <c r="M140" i="18" s="1"/>
  <c r="M141" i="18" s="1"/>
  <c r="M142" i="18" s="1"/>
  <c r="M143" i="18" s="1"/>
  <c r="M144" i="18" s="1"/>
  <c r="M145" i="18" s="1"/>
  <c r="M146" i="18" s="1"/>
  <c r="M147" i="18" s="1"/>
  <c r="M148" i="18" s="1"/>
  <c r="M149" i="18" s="1"/>
  <c r="G51" i="18"/>
  <c r="I7" i="17"/>
  <c r="L15" i="17"/>
  <c r="K15" i="17"/>
  <c r="H15" i="17"/>
  <c r="K26" i="17"/>
  <c r="E15" i="17"/>
  <c r="A15" i="17"/>
  <c r="K18" i="17"/>
  <c r="E13" i="17"/>
  <c r="J18" i="17"/>
  <c r="A13" i="17"/>
  <c r="Z13" i="17" s="1"/>
  <c r="AA13" i="17" s="1"/>
  <c r="E26" i="17"/>
  <c r="H18" i="17"/>
  <c r="P27" i="17"/>
  <c r="L14" i="17"/>
  <c r="L27" i="17"/>
  <c r="E16" i="17"/>
  <c r="H27" i="17"/>
  <c r="L22" i="17"/>
  <c r="Y22" i="17" s="1"/>
  <c r="E27" i="17"/>
  <c r="J22" i="17"/>
  <c r="A14" i="17"/>
  <c r="P15" i="17"/>
  <c r="L13" i="17"/>
  <c r="L26" i="17"/>
  <c r="J13" i="17"/>
  <c r="J26" i="17"/>
  <c r="H13" i="17"/>
  <c r="A18" i="17"/>
  <c r="K14" i="17"/>
  <c r="A16" i="17"/>
  <c r="K22" i="17"/>
  <c r="E14" i="17"/>
  <c r="A27" i="17"/>
  <c r="V15" i="17"/>
  <c r="J15" i="17"/>
  <c r="H26" i="17"/>
  <c r="L18" i="17"/>
  <c r="P16" i="17"/>
  <c r="L16" i="17"/>
  <c r="K27" i="17"/>
  <c r="J14" i="17"/>
  <c r="J16" i="17"/>
  <c r="B46" i="23" l="1"/>
  <c r="C50" i="23"/>
  <c r="B57" i="23"/>
  <c r="C51" i="23"/>
  <c r="G16" i="23"/>
  <c r="F24" i="23" s="1"/>
  <c r="B14" i="23"/>
  <c r="C44" i="23"/>
  <c r="C58" i="23"/>
  <c r="B56" i="23"/>
  <c r="C56" i="23"/>
  <c r="B43" i="23"/>
  <c r="B55" i="23"/>
  <c r="C55" i="23"/>
  <c r="B17" i="23"/>
  <c r="B45" i="23" s="1"/>
  <c r="D18" i="23"/>
  <c r="C52" i="23" s="1"/>
  <c r="Z14" i="17"/>
  <c r="AA14" i="17" s="1"/>
  <c r="C41" i="23"/>
  <c r="P68" i="23"/>
  <c r="G58" i="23" s="1"/>
  <c r="G23" i="23" s="1"/>
  <c r="B54" i="23"/>
  <c r="C54" i="23"/>
  <c r="C53" i="23"/>
  <c r="B53" i="23"/>
  <c r="B47" i="23"/>
  <c r="C47" i="23"/>
  <c r="C49" i="23"/>
  <c r="B49" i="23"/>
  <c r="L66" i="23"/>
  <c r="L67" i="23"/>
  <c r="K69" i="23"/>
  <c r="B42" i="23"/>
  <c r="C42" i="23"/>
  <c r="B48" i="23"/>
  <c r="C48" i="23"/>
  <c r="Z22" i="17"/>
  <c r="AA22" i="17" s="1"/>
  <c r="Z26" i="17"/>
  <c r="AA26" i="17" s="1"/>
  <c r="Z17" i="17"/>
  <c r="AA17" i="17" s="1"/>
  <c r="Z15" i="17"/>
  <c r="AA15" i="17" s="1"/>
  <c r="Z27" i="17"/>
  <c r="AA27" i="17" s="1"/>
  <c r="Z16" i="17"/>
  <c r="AA16" i="17" s="1"/>
  <c r="Z18" i="17"/>
  <c r="AA18" i="17" s="1"/>
  <c r="A2" i="16"/>
  <c r="J62" i="9"/>
  <c r="C45" i="23" l="1"/>
  <c r="B52" i="23"/>
  <c r="E53" i="18"/>
  <c r="H53" i="18" s="1"/>
  <c r="AA29" i="17"/>
  <c r="I8" i="17" s="1"/>
  <c r="B60" i="23"/>
  <c r="H27" i="23" s="1"/>
  <c r="M67" i="23"/>
  <c r="M66" i="23"/>
  <c r="L69" i="23"/>
  <c r="M68" i="23"/>
  <c r="J17" i="11"/>
  <c r="C17" i="11"/>
  <c r="C11" i="11"/>
  <c r="J15" i="11"/>
  <c r="C13" i="11"/>
  <c r="J13" i="11"/>
  <c r="C15" i="11"/>
  <c r="C8" i="11"/>
  <c r="J8" i="11"/>
  <c r="J11" i="11"/>
  <c r="N67" i="23" l="1"/>
  <c r="N66" i="23"/>
  <c r="M69" i="23"/>
  <c r="N68" i="23"/>
  <c r="E20" i="9"/>
  <c r="T16" i="13"/>
  <c r="T17" i="13"/>
  <c r="L17" i="13"/>
  <c r="L16" i="13"/>
  <c r="T13" i="13"/>
  <c r="T14" i="13"/>
  <c r="T18" i="13"/>
  <c r="T20" i="13"/>
  <c r="T21" i="13"/>
  <c r="T22" i="13"/>
  <c r="T23" i="13"/>
  <c r="T24" i="13"/>
  <c r="T25" i="13"/>
  <c r="T12" i="13"/>
  <c r="K21" i="9"/>
  <c r="E22" i="9"/>
  <c r="N70" i="12"/>
  <c r="N12" i="12"/>
  <c r="N17" i="12"/>
  <c r="N7" i="12"/>
  <c r="BD5" i="14"/>
  <c r="BD6" i="14"/>
  <c r="BD7" i="14"/>
  <c r="BD8" i="14"/>
  <c r="BD9" i="14"/>
  <c r="BD10" i="14"/>
  <c r="BD11" i="14"/>
  <c r="BD12" i="14"/>
  <c r="BD13" i="14"/>
  <c r="BD26" i="14"/>
  <c r="BD27" i="14"/>
  <c r="BD28" i="14"/>
  <c r="H31" i="14"/>
  <c r="BD33" i="14"/>
  <c r="L11" i="13"/>
  <c r="L12" i="13"/>
  <c r="L13" i="13"/>
  <c r="L14" i="13"/>
  <c r="B15" i="13"/>
  <c r="C15" i="13"/>
  <c r="D15" i="13"/>
  <c r="E15" i="13"/>
  <c r="F15" i="13"/>
  <c r="G15" i="13"/>
  <c r="H15" i="13"/>
  <c r="I15" i="13"/>
  <c r="J15" i="13"/>
  <c r="K15" i="13"/>
  <c r="P15" i="13"/>
  <c r="T15" i="13" s="1"/>
  <c r="L18" i="13"/>
  <c r="B19" i="13"/>
  <c r="C19" i="13"/>
  <c r="D19" i="13"/>
  <c r="E19" i="13"/>
  <c r="F19" i="13"/>
  <c r="G19" i="13"/>
  <c r="H19" i="13"/>
  <c r="I19" i="13"/>
  <c r="J19" i="13"/>
  <c r="K19" i="13"/>
  <c r="M19" i="13"/>
  <c r="N19" i="13"/>
  <c r="O19" i="13"/>
  <c r="P19" i="13"/>
  <c r="Q19" i="13"/>
  <c r="R19" i="13"/>
  <c r="S19" i="13"/>
  <c r="U19" i="13"/>
  <c r="L20" i="13"/>
  <c r="L21" i="13"/>
  <c r="L22" i="13"/>
  <c r="L23" i="13"/>
  <c r="L24" i="13"/>
  <c r="L25" i="13"/>
  <c r="L26" i="13"/>
  <c r="L27" i="13"/>
  <c r="L28" i="13"/>
  <c r="L29" i="13"/>
  <c r="L30" i="13"/>
  <c r="L31" i="13"/>
  <c r="B32" i="13"/>
  <c r="C32" i="13"/>
  <c r="D32" i="13"/>
  <c r="E32" i="13"/>
  <c r="F32" i="13"/>
  <c r="G32" i="13"/>
  <c r="H32" i="13"/>
  <c r="I32" i="13"/>
  <c r="J32" i="13"/>
  <c r="K32" i="13"/>
  <c r="M32" i="13"/>
  <c r="B33" i="13"/>
  <c r="C33" i="13"/>
  <c r="D33" i="13"/>
  <c r="E33" i="13"/>
  <c r="F33" i="13"/>
  <c r="G33" i="13"/>
  <c r="H33" i="13"/>
  <c r="I33" i="13"/>
  <c r="J33" i="13"/>
  <c r="K33" i="13"/>
  <c r="M33" i="13"/>
  <c r="B34" i="13"/>
  <c r="C34" i="13"/>
  <c r="D34" i="13"/>
  <c r="E34" i="13"/>
  <c r="F34" i="13"/>
  <c r="G34" i="13"/>
  <c r="H34" i="13"/>
  <c r="I34" i="13"/>
  <c r="J34" i="13"/>
  <c r="K34" i="13"/>
  <c r="M34" i="13"/>
  <c r="B35" i="13"/>
  <c r="C35" i="13"/>
  <c r="D35" i="13"/>
  <c r="L35" i="13" s="1"/>
  <c r="E35" i="13"/>
  <c r="F35" i="13"/>
  <c r="G35" i="13"/>
  <c r="H35" i="13"/>
  <c r="I35" i="13"/>
  <c r="J35" i="13"/>
  <c r="K35" i="13"/>
  <c r="M35" i="13"/>
  <c r="B36" i="13"/>
  <c r="C36" i="13"/>
  <c r="D36" i="13"/>
  <c r="E36" i="13"/>
  <c r="F36" i="13"/>
  <c r="G36" i="13"/>
  <c r="H36" i="13"/>
  <c r="I36" i="13"/>
  <c r="J36" i="13"/>
  <c r="K36" i="13"/>
  <c r="M36" i="13"/>
  <c r="L37" i="13"/>
  <c r="M37" i="13"/>
  <c r="L38" i="13"/>
  <c r="L39" i="13"/>
  <c r="L40" i="13"/>
  <c r="N8" i="12"/>
  <c r="P8" i="12"/>
  <c r="N9" i="12"/>
  <c r="N10" i="12"/>
  <c r="N11" i="12"/>
  <c r="N13" i="12"/>
  <c r="N14" i="12"/>
  <c r="N15" i="12"/>
  <c r="N16" i="12"/>
  <c r="N18" i="12"/>
  <c r="N19" i="12"/>
  <c r="N20" i="12"/>
  <c r="N21" i="12"/>
  <c r="N22" i="12"/>
  <c r="N23" i="12"/>
  <c r="N24" i="12"/>
  <c r="N25" i="12"/>
  <c r="N26" i="12"/>
  <c r="N27" i="12"/>
  <c r="N28" i="12"/>
  <c r="N29" i="12"/>
  <c r="N30" i="12"/>
  <c r="N31" i="12"/>
  <c r="N32" i="12"/>
  <c r="N33" i="12"/>
  <c r="N34" i="12"/>
  <c r="N35" i="12"/>
  <c r="N36" i="12"/>
  <c r="N37" i="12"/>
  <c r="N38" i="12"/>
  <c r="N39" i="12"/>
  <c r="N40" i="12"/>
  <c r="N41" i="12"/>
  <c r="N42" i="12"/>
  <c r="N44" i="12"/>
  <c r="N45" i="12"/>
  <c r="N46" i="12"/>
  <c r="N47" i="12"/>
  <c r="N48" i="12"/>
  <c r="N49" i="12"/>
  <c r="N50" i="12"/>
  <c r="N51" i="12"/>
  <c r="N52" i="12"/>
  <c r="N53" i="12"/>
  <c r="N54" i="12"/>
  <c r="N55" i="12"/>
  <c r="N56" i="12"/>
  <c r="N57" i="12"/>
  <c r="N58" i="12"/>
  <c r="N59" i="12"/>
  <c r="N64" i="12"/>
  <c r="N65" i="12"/>
  <c r="N66" i="12"/>
  <c r="N67" i="12"/>
  <c r="N68" i="12"/>
  <c r="N69" i="12"/>
  <c r="N71" i="12"/>
  <c r="N72" i="12"/>
  <c r="N73" i="12"/>
  <c r="N78" i="12"/>
  <c r="N79" i="12"/>
  <c r="N80" i="12"/>
  <c r="N81" i="12"/>
  <c r="N82" i="12"/>
  <c r="N84" i="12"/>
  <c r="N85" i="12"/>
  <c r="N86" i="12"/>
  <c r="N87" i="12"/>
  <c r="N88" i="12"/>
  <c r="N89" i="12"/>
  <c r="C13" i="9"/>
  <c r="A1" i="9"/>
  <c r="E1" i="9"/>
  <c r="A10" i="9"/>
  <c r="A11" i="9"/>
  <c r="C11" i="9"/>
  <c r="A12" i="9"/>
  <c r="C12" i="9"/>
  <c r="A13" i="9"/>
  <c r="A14" i="9"/>
  <c r="A15" i="9"/>
  <c r="C15" i="9"/>
  <c r="A16" i="9"/>
  <c r="C16" i="9"/>
  <c r="D18" i="9"/>
  <c r="G18" i="9" s="1"/>
  <c r="E18" i="9"/>
  <c r="K18" i="9"/>
  <c r="A20" i="9"/>
  <c r="D20" i="9"/>
  <c r="F20" i="9"/>
  <c r="A22" i="9"/>
  <c r="D21" i="9"/>
  <c r="F21" i="9"/>
  <c r="A24" i="9"/>
  <c r="D24" i="9"/>
  <c r="E24" i="9"/>
  <c r="F24" i="9"/>
  <c r="J25" i="9"/>
  <c r="A27" i="9"/>
  <c r="D27" i="9"/>
  <c r="F27" i="9"/>
  <c r="K29" i="9"/>
  <c r="K30" i="9"/>
  <c r="K31" i="9"/>
  <c r="K38" i="9"/>
  <c r="J42" i="9"/>
  <c r="J44" i="9"/>
  <c r="J46" i="9"/>
  <c r="J50" i="9"/>
  <c r="J51" i="9"/>
  <c r="J52" i="9"/>
  <c r="J53" i="9"/>
  <c r="K67" i="9"/>
  <c r="K70" i="9"/>
  <c r="C83" i="9"/>
  <c r="C84" i="9"/>
  <c r="C85" i="9"/>
  <c r="C86" i="9"/>
  <c r="A1" i="11"/>
  <c r="D1" i="11"/>
  <c r="O66" i="23" l="1"/>
  <c r="O69" i="23" s="1"/>
  <c r="N69" i="23"/>
  <c r="O67" i="23"/>
  <c r="Q67" i="23" s="1"/>
  <c r="F22" i="23" s="1"/>
  <c r="H22" i="23" s="1"/>
  <c r="O68" i="23"/>
  <c r="Q68" i="23" s="1"/>
  <c r="F23" i="23" s="1"/>
  <c r="H23" i="23" s="1"/>
  <c r="G4" i="21"/>
  <c r="C11" i="20"/>
  <c r="K6" i="17"/>
  <c r="K65" i="9"/>
  <c r="K27" i="9"/>
  <c r="J24" i="9"/>
  <c r="K24" i="9" s="1"/>
  <c r="E27" i="9"/>
  <c r="J16" i="9"/>
  <c r="C14" i="9"/>
  <c r="K20" i="9"/>
  <c r="E21" i="9"/>
  <c r="K22" i="9"/>
  <c r="J14" i="9"/>
  <c r="J11" i="9"/>
  <c r="J12" i="9"/>
  <c r="J15" i="9"/>
  <c r="C10" i="9"/>
  <c r="L36" i="13"/>
  <c r="L32" i="13"/>
  <c r="L33" i="13"/>
  <c r="T19" i="13"/>
  <c r="L19" i="13"/>
  <c r="L34" i="13"/>
  <c r="L15" i="13"/>
  <c r="J13" i="9"/>
  <c r="J10" i="9"/>
  <c r="Q69" i="23" l="1"/>
  <c r="I25" i="23" s="1"/>
  <c r="B75" i="18" s="1"/>
  <c r="B8" i="20"/>
  <c r="E8" i="20" s="1"/>
  <c r="E29" i="18"/>
  <c r="H29" i="18" s="1"/>
  <c r="E39" i="18"/>
  <c r="H39" i="18" s="1"/>
  <c r="E37" i="18"/>
  <c r="H37" i="18" s="1"/>
  <c r="E42" i="18"/>
  <c r="H42" i="18" s="1"/>
  <c r="E35" i="18"/>
  <c r="H35" i="18" s="1"/>
  <c r="E40" i="18"/>
  <c r="H40" i="18" s="1"/>
  <c r="E30" i="18"/>
  <c r="H30" i="18" s="1"/>
  <c r="E49" i="18"/>
  <c r="H49" i="18" s="1"/>
  <c r="E33" i="18"/>
  <c r="H33" i="18" s="1"/>
  <c r="E41" i="18"/>
  <c r="H41" i="18" s="1"/>
  <c r="E36" i="18"/>
  <c r="H36" i="18" s="1"/>
  <c r="E28" i="18"/>
  <c r="H28" i="18" s="1"/>
  <c r="E38" i="18"/>
  <c r="H38" i="18" s="1"/>
  <c r="E52" i="18"/>
  <c r="H52" i="18" s="1"/>
  <c r="E34" i="18"/>
  <c r="H34" i="18" s="1"/>
  <c r="U17" i="17"/>
  <c r="U22" i="17"/>
  <c r="I6" i="17"/>
  <c r="U27" i="17"/>
  <c r="U14" i="17"/>
  <c r="U13" i="17"/>
  <c r="U16" i="17"/>
  <c r="U18" i="17"/>
  <c r="U26" i="17"/>
  <c r="U15" i="17"/>
  <c r="B35" i="17"/>
  <c r="B32" i="17"/>
  <c r="B34" i="17"/>
  <c r="B31" i="17"/>
  <c r="B33" i="17"/>
  <c r="B6" i="17"/>
  <c r="B36" i="17"/>
  <c r="B37" i="17"/>
  <c r="T17" i="17"/>
  <c r="T27" i="17"/>
  <c r="T16" i="17"/>
  <c r="T26" i="17"/>
  <c r="T14" i="17"/>
  <c r="T18" i="17"/>
  <c r="T13" i="17"/>
  <c r="B5" i="17"/>
  <c r="I5" i="17"/>
  <c r="T22" i="17"/>
  <c r="G22" i="17" s="1"/>
  <c r="T15" i="17"/>
  <c r="C13" i="20"/>
  <c r="C6" i="19"/>
  <c r="E46" i="18"/>
  <c r="H46" i="18" s="1"/>
  <c r="E48" i="18"/>
  <c r="H48" i="18" s="1"/>
  <c r="E31" i="18"/>
  <c r="H31" i="18" s="1"/>
  <c r="I5" i="21"/>
  <c r="K17" i="9"/>
  <c r="I1" i="18" s="1"/>
  <c r="K74" i="9"/>
  <c r="E43" i="18"/>
  <c r="H43" i="18" s="1"/>
  <c r="C7" i="19" l="1"/>
  <c r="C12" i="20"/>
  <c r="C14" i="20" s="1"/>
  <c r="C8" i="19"/>
  <c r="E51" i="18"/>
  <c r="H51" i="18" s="1"/>
  <c r="E50" i="18"/>
  <c r="H50" i="18" s="1"/>
  <c r="E60" i="18"/>
  <c r="H60" i="18" s="1"/>
  <c r="E45" i="18"/>
  <c r="H45" i="18" s="1"/>
  <c r="E44" i="18"/>
  <c r="H44" i="18" s="1"/>
  <c r="E47" i="18"/>
  <c r="H47" i="18" s="1"/>
  <c r="E61" i="18"/>
  <c r="H61" i="18" s="1"/>
  <c r="E21" i="18"/>
  <c r="E32" i="18"/>
  <c r="H32" i="18" s="1"/>
  <c r="E57" i="18"/>
  <c r="H57" i="18" s="1"/>
  <c r="E56" i="18"/>
  <c r="H56" i="18" s="1"/>
  <c r="F18" i="17"/>
  <c r="G18" i="17" s="1"/>
  <c r="I18" i="17"/>
  <c r="X18" i="17" s="1"/>
  <c r="Y18" i="17" s="1"/>
  <c r="I15" i="17"/>
  <c r="X15" i="17" s="1"/>
  <c r="Y15" i="17" s="1"/>
  <c r="F15" i="17"/>
  <c r="G15" i="17" s="1"/>
  <c r="F13" i="17"/>
  <c r="G13" i="17" s="1"/>
  <c r="I13" i="17"/>
  <c r="X13" i="17" s="1"/>
  <c r="Y13" i="17" s="1"/>
  <c r="I14" i="17"/>
  <c r="X14" i="17" s="1"/>
  <c r="Y14" i="17" s="1"/>
  <c r="F14" i="17"/>
  <c r="G14" i="17" s="1"/>
  <c r="F27" i="17"/>
  <c r="I27" i="17"/>
  <c r="X27" i="17" s="1"/>
  <c r="Y27" i="17" s="1"/>
  <c r="F22" i="17"/>
  <c r="F26" i="17"/>
  <c r="I26" i="17"/>
  <c r="X26" i="17" s="1"/>
  <c r="Y26" i="17" s="1"/>
  <c r="F17" i="17"/>
  <c r="G17" i="17" s="1"/>
  <c r="I17" i="17"/>
  <c r="X17" i="17" s="1"/>
  <c r="Y17" i="17" s="1"/>
  <c r="E5" i="17"/>
  <c r="E6" i="17"/>
  <c r="E7" i="17"/>
  <c r="I16" i="17"/>
  <c r="X16" i="17" s="1"/>
  <c r="Y16" i="17" s="1"/>
  <c r="F16" i="17"/>
  <c r="G16" i="17" s="1"/>
  <c r="K73" i="9"/>
  <c r="I2" i="18" s="1"/>
  <c r="D74" i="9" l="1"/>
  <c r="C9" i="19"/>
  <c r="E8" i="19" s="1"/>
  <c r="H22" i="19" s="1"/>
  <c r="H21" i="18"/>
  <c r="E74" i="9"/>
  <c r="K5" i="17"/>
  <c r="H21" i="19" l="1"/>
  <c r="H9" i="19"/>
  <c r="H7" i="19"/>
  <c r="H6" i="19"/>
  <c r="H5" i="19"/>
  <c r="E5" i="19"/>
  <c r="H17" i="19" s="1"/>
  <c r="H8" i="19"/>
  <c r="E6" i="19"/>
  <c r="H20" i="19" s="1"/>
  <c r="E18" i="18"/>
  <c r="H18" i="18" s="1"/>
  <c r="E64" i="18"/>
  <c r="H64" i="18" s="1"/>
  <c r="E70" i="18"/>
  <c r="H70" i="18" s="1"/>
  <c r="E58" i="18"/>
  <c r="H58" i="18" s="1"/>
  <c r="E73" i="18"/>
  <c r="H73" i="18" s="1"/>
  <c r="E26" i="18"/>
  <c r="H26" i="18" s="1"/>
  <c r="E19" i="18"/>
  <c r="H19" i="18" s="1"/>
  <c r="E11" i="18"/>
  <c r="H11" i="18" s="1"/>
  <c r="E15" i="18"/>
  <c r="H15" i="18" s="1"/>
  <c r="E23" i="18"/>
  <c r="H23" i="18" s="1"/>
  <c r="E63" i="18"/>
  <c r="H63" i="18" s="1"/>
  <c r="E69" i="18"/>
  <c r="H69" i="18" s="1"/>
  <c r="E16" i="18"/>
  <c r="H16" i="18" s="1"/>
  <c r="E72" i="18"/>
  <c r="H72" i="18" s="1"/>
  <c r="E24" i="18"/>
  <c r="H24" i="18" s="1"/>
  <c r="E17" i="18"/>
  <c r="H17" i="18" s="1"/>
  <c r="E65" i="18"/>
  <c r="H65" i="18" s="1"/>
  <c r="E54" i="18"/>
  <c r="H54" i="18" s="1"/>
  <c r="E74" i="18"/>
  <c r="H74" i="18" s="1"/>
  <c r="E22" i="18"/>
  <c r="H22" i="18" s="1"/>
  <c r="E55" i="18"/>
  <c r="H55" i="18" s="1"/>
  <c r="E12" i="18"/>
  <c r="H12" i="18" s="1"/>
  <c r="E68" i="18"/>
  <c r="H68" i="18" s="1"/>
  <c r="E59" i="18"/>
  <c r="H59" i="18" s="1"/>
  <c r="E25" i="18"/>
  <c r="H25" i="18" s="1"/>
  <c r="E27" i="18"/>
  <c r="H27" i="18" s="1"/>
  <c r="E62" i="18"/>
  <c r="H62" i="18" s="1"/>
  <c r="E71" i="18"/>
  <c r="H71" i="18" s="1"/>
  <c r="E13" i="18"/>
  <c r="H13" i="18" s="1"/>
  <c r="E14" i="18"/>
  <c r="H14" i="18" s="1"/>
  <c r="E66" i="18"/>
  <c r="H66" i="18" s="1"/>
  <c r="E20" i="18"/>
  <c r="H20" i="18" s="1"/>
  <c r="E67" i="18"/>
  <c r="H67" i="18" s="1"/>
  <c r="H14" i="19" l="1"/>
  <c r="H16" i="19"/>
  <c r="H13" i="19"/>
  <c r="H18" i="19"/>
  <c r="H15" i="19"/>
  <c r="H19"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Andy Murray</author>
    <author>AndrewM</author>
    <author>Andrew</author>
  </authors>
  <commentList>
    <comment ref="A1" authorId="0" shapeId="0" xr:uid="{00000000-0006-0000-0000-000001000000}">
      <text>
        <r>
          <rPr>
            <sz val="8"/>
            <color indexed="81"/>
            <rFont val="Tahoma"/>
            <family val="2"/>
          </rPr>
          <t>Dark grey: not for printing, Light grey: user-edit fields
White: not for editing</t>
        </r>
      </text>
    </comment>
    <comment ref="A3" authorId="0" shapeId="0" xr:uid="{00000000-0006-0000-0000-000002000000}">
      <text>
        <r>
          <rPr>
            <b/>
            <sz val="8"/>
            <color indexed="81"/>
            <rFont val="Tahoma"/>
            <family val="2"/>
          </rPr>
          <t>Step 1:</t>
        </r>
        <r>
          <rPr>
            <sz val="8"/>
            <color indexed="81"/>
            <rFont val="Tahoma"/>
            <family val="2"/>
          </rPr>
          <t xml:space="preserve">
As a minimum, decide on race, sex and whether the character is normal or not.  Other fields can be completed later.</t>
        </r>
      </text>
    </comment>
    <comment ref="A11" authorId="0" shapeId="0" xr:uid="{00000000-0006-0000-0000-000003000000}">
      <text>
        <r>
          <rPr>
            <b/>
            <sz val="8"/>
            <color indexed="81"/>
            <rFont val="Tahoma"/>
            <family val="2"/>
          </rPr>
          <t>Step 2:</t>
        </r>
        <r>
          <rPr>
            <sz val="8"/>
            <color indexed="81"/>
            <rFont val="Tahoma"/>
            <family val="2"/>
          </rPr>
          <t xml:space="preserve">
Hit F9 key a random number of times to generate the chars.  When you've done this and want to preserve the result,
</t>
        </r>
        <r>
          <rPr>
            <b/>
            <sz val="8"/>
            <color indexed="81"/>
            <rFont val="Tahoma"/>
            <family val="2"/>
          </rPr>
          <t xml:space="preserve">Select </t>
        </r>
        <r>
          <rPr>
            <sz val="8"/>
            <color indexed="81"/>
            <rFont val="Tahoma"/>
            <family val="2"/>
          </rPr>
          <t xml:space="preserve">the chars area (Cell A10 thru to Cell I20), 
</t>
        </r>
        <r>
          <rPr>
            <b/>
            <sz val="8"/>
            <color indexed="81"/>
            <rFont val="Tahoma"/>
            <family val="2"/>
          </rPr>
          <t>Copy</t>
        </r>
        <r>
          <rPr>
            <sz val="8"/>
            <color indexed="81"/>
            <rFont val="Tahoma"/>
            <family val="2"/>
          </rPr>
          <t xml:space="preserve">, then
</t>
        </r>
        <r>
          <rPr>
            <b/>
            <sz val="8"/>
            <color indexed="81"/>
            <rFont val="Tahoma"/>
            <family val="2"/>
          </rPr>
          <t>Open a non-Excel App (eg MS Word)</t>
        </r>
        <r>
          <rPr>
            <sz val="8"/>
            <color indexed="81"/>
            <rFont val="Tahoma"/>
            <family val="2"/>
          </rPr>
          <t xml:space="preserve">, and
</t>
        </r>
        <r>
          <rPr>
            <b/>
            <sz val="8"/>
            <color indexed="81"/>
            <rFont val="Tahoma"/>
            <family val="2"/>
          </rPr>
          <t>Paste</t>
        </r>
        <r>
          <rPr>
            <sz val="8"/>
            <color indexed="81"/>
            <rFont val="Tahoma"/>
            <family val="2"/>
          </rPr>
          <t xml:space="preserve"> the data block there. Then immediately </t>
        </r>
        <r>
          <rPr>
            <b/>
            <sz val="8"/>
            <color indexed="81"/>
            <rFont val="Tahoma"/>
            <family val="2"/>
          </rPr>
          <t xml:space="preserve">Copy the data block back </t>
        </r>
        <r>
          <rPr>
            <sz val="8"/>
            <color indexed="81"/>
            <rFont val="Tahoma"/>
            <family val="2"/>
          </rPr>
          <t xml:space="preserve">to the original location, using </t>
        </r>
        <r>
          <rPr>
            <b/>
            <sz val="8"/>
            <color indexed="81"/>
            <rFont val="Tahoma"/>
            <family val="2"/>
          </rPr>
          <t>"Paste Special"</t>
        </r>
        <r>
          <rPr>
            <sz val="8"/>
            <color indexed="81"/>
            <rFont val="Tahoma"/>
            <family val="2"/>
          </rPr>
          <t xml:space="preserve">, choosing </t>
        </r>
        <r>
          <rPr>
            <b/>
            <sz val="8"/>
            <color indexed="81"/>
            <rFont val="Tahoma"/>
            <family val="2"/>
          </rPr>
          <t>"Match Destination Formatting'.</t>
        </r>
      </text>
    </comment>
    <comment ref="G15" authorId="1" shapeId="0" xr:uid="{F4330896-035E-4ED3-9EFD-EABEBF099441}">
      <text>
        <r>
          <rPr>
            <b/>
            <sz val="8"/>
            <color indexed="81"/>
            <rFont val="Tahoma"/>
            <family val="2"/>
          </rPr>
          <t xml:space="preserve">Helpful Tip:
Update any Wp Bonuses and Lossses here.
</t>
        </r>
        <r>
          <rPr>
            <sz val="8"/>
            <color indexed="81"/>
            <rFont val="Tahoma"/>
            <family val="2"/>
          </rPr>
          <t xml:space="preserve">This cell displays value for 
</t>
        </r>
        <r>
          <rPr>
            <b/>
            <sz val="8"/>
            <color indexed="81"/>
            <rFont val="Tahoma"/>
            <family val="2"/>
          </rPr>
          <t>Wp (Offensive) during Wp Battles,</t>
        </r>
        <r>
          <rPr>
            <sz val="8"/>
            <color indexed="81"/>
            <rFont val="Tahoma"/>
            <family val="2"/>
          </rPr>
          <t xml:space="preserve"> incl. previously earned Wp Bonuses/Losses.</t>
        </r>
      </text>
    </comment>
    <comment ref="I15" authorId="1" shapeId="0" xr:uid="{0CF7C93F-94BE-4307-8C3A-39BA7C8526B1}">
      <text>
        <r>
          <rPr>
            <b/>
            <sz val="8"/>
            <color indexed="81"/>
            <rFont val="Tahoma"/>
            <family val="2"/>
          </rPr>
          <t xml:space="preserve">Helpful Tip: = </t>
        </r>
        <r>
          <rPr>
            <sz val="8"/>
            <color indexed="81"/>
            <rFont val="Tahoma"/>
            <family val="2"/>
          </rPr>
          <t xml:space="preserve">(SL*SL/25)
</t>
        </r>
        <r>
          <rPr>
            <b/>
            <sz val="8"/>
            <color indexed="81"/>
            <rFont val="Tahoma"/>
            <family val="2"/>
          </rPr>
          <t>Unwipeable Bonus to Defensive Wp</t>
        </r>
        <r>
          <rPr>
            <sz val="8"/>
            <color indexed="81"/>
            <rFont val="Tahoma"/>
            <family val="2"/>
          </rPr>
          <t>, only relevant during Wp Battle initiated by an incoming Dominating Spell or Effect.</t>
        </r>
      </text>
    </comment>
    <comment ref="A21" authorId="0" shapeId="0" xr:uid="{00000000-0006-0000-0000-000004000000}">
      <text>
        <r>
          <rPr>
            <b/>
            <sz val="8"/>
            <color indexed="81"/>
            <rFont val="Tahoma"/>
            <family val="2"/>
          </rPr>
          <t>Step 3:</t>
        </r>
        <r>
          <rPr>
            <sz val="8"/>
            <color indexed="81"/>
            <rFont val="Tahoma"/>
            <family val="2"/>
          </rPr>
          <t xml:space="preserve">
Allocate the base levels (normally 8) plus the part level across the various disciplines.
Then freeze the values in HP, SP and LofM wks by following the </t>
        </r>
        <r>
          <rPr>
            <b/>
            <sz val="8"/>
            <color indexed="81"/>
            <rFont val="Tahoma"/>
            <family val="2"/>
          </rPr>
          <t>Steps 4,5,6  below.</t>
        </r>
      </text>
    </comment>
    <comment ref="F22" authorId="1" shapeId="0" xr:uid="{CEF6A71C-4032-4692-9AED-CAC16018072D}">
      <text>
        <r>
          <rPr>
            <b/>
            <sz val="8"/>
            <color indexed="81"/>
            <rFont val="Tahoma"/>
            <family val="2"/>
          </rPr>
          <t>Step 7a: HP Maintenance</t>
        </r>
        <r>
          <rPr>
            <sz val="8"/>
            <color indexed="81"/>
            <rFont val="Tahoma"/>
            <family val="2"/>
          </rPr>
          <t xml:space="preserve">
At each FtL Break, freeze the new HP calculation by reiterating </t>
        </r>
        <r>
          <rPr>
            <b/>
            <sz val="8"/>
            <color indexed="81"/>
            <rFont val="Tahoma"/>
            <family val="2"/>
          </rPr>
          <t>Step 4 below</t>
        </r>
        <r>
          <rPr>
            <sz val="8"/>
            <color indexed="81"/>
            <rFont val="Tahoma"/>
            <family val="2"/>
          </rPr>
          <t>.</t>
        </r>
      </text>
    </comment>
    <comment ref="F23" authorId="1" shapeId="0" xr:uid="{2C4C1F97-34CF-421E-981B-8192370B3C54}">
      <text>
        <r>
          <rPr>
            <b/>
            <sz val="8"/>
            <color indexed="81"/>
            <rFont val="Tahoma"/>
            <family val="2"/>
          </rPr>
          <t>Step 7b: SP Maintenance</t>
        </r>
        <r>
          <rPr>
            <sz val="8"/>
            <color indexed="81"/>
            <rFont val="Tahoma"/>
            <family val="2"/>
          </rPr>
          <t xml:space="preserve">
At each MUL Break, freeze the new SP calculation by reiterating </t>
        </r>
        <r>
          <rPr>
            <b/>
            <sz val="8"/>
            <color indexed="81"/>
            <rFont val="Tahoma"/>
            <family val="2"/>
          </rPr>
          <t>Step 5 below</t>
        </r>
        <r>
          <rPr>
            <sz val="8"/>
            <color indexed="81"/>
            <rFont val="Tahoma"/>
            <family val="2"/>
          </rPr>
          <t>.</t>
        </r>
      </text>
    </comment>
    <comment ref="H27" authorId="1" shapeId="0" xr:uid="{8DB43639-7358-4376-BE9E-D52D283AD34A}">
      <text>
        <r>
          <rPr>
            <b/>
            <sz val="9"/>
            <color indexed="81"/>
            <rFont val="Tahoma"/>
            <family val="2"/>
          </rPr>
          <t>Helpful Tip:</t>
        </r>
        <r>
          <rPr>
            <sz val="9"/>
            <color indexed="81"/>
            <rFont val="Tahoma"/>
            <family val="2"/>
          </rPr>
          <t xml:space="preserve">
Shows % Adjustment to cited Usual Learning Time for Mental Learning Processes eg learning Languages, Spells, Recipes, Rituals, but not for Physical Learning Activities such as Fighter and Thief Training.</t>
        </r>
      </text>
    </comment>
    <comment ref="F30" authorId="1" shapeId="0" xr:uid="{365939F6-9FF3-4AA7-AA16-FAA204D9266C}">
      <text>
        <r>
          <rPr>
            <b/>
            <sz val="9"/>
            <color indexed="81"/>
            <rFont val="Tahoma"/>
            <family val="2"/>
          </rPr>
          <t>Helpful Tip:</t>
        </r>
        <r>
          <rPr>
            <sz val="9"/>
            <color indexed="81"/>
            <rFont val="Tahoma"/>
            <family val="2"/>
          </rPr>
          <t xml:space="preserve">
Enter any "Non-Paladinic" bonuses to SL here, eg Magic Items or Spell Effects. Remember to update this cell up or down in real time if relevant, eg Prot Spells</t>
        </r>
      </text>
    </comment>
    <comment ref="B42" authorId="1" shapeId="0" xr:uid="{8B5E172D-F85A-4B92-BEAD-D59455DA24CB}">
      <text>
        <r>
          <rPr>
            <sz val="9"/>
            <color indexed="81"/>
            <rFont val="Tahoma"/>
            <family val="2"/>
          </rPr>
          <t>Includes any penalty to Dx(Ph) for armour encumbrance &gt;300 WtPts, if applicable.</t>
        </r>
      </text>
    </comment>
    <comment ref="C42" authorId="1" shapeId="0" xr:uid="{5129E5D9-D2DB-41A2-AB94-BDA567866EEF}">
      <text>
        <r>
          <rPr>
            <sz val="9"/>
            <color indexed="81"/>
            <rFont val="Tahoma"/>
            <family val="2"/>
          </rPr>
          <t>Includes any penalty to Dx(Ph) for armour encumbrance &gt;300 WtPts, if applicable.</t>
        </r>
      </text>
    </comment>
    <comment ref="A67" authorId="1" shapeId="0" xr:uid="{9D541253-5257-43C2-B78B-3ABDA562E7CA}">
      <text>
        <r>
          <rPr>
            <b/>
            <sz val="8"/>
            <color indexed="81"/>
            <rFont val="Tahoma"/>
            <family val="2"/>
          </rPr>
          <t>Step 4: Freezing Current HPs.</t>
        </r>
        <r>
          <rPr>
            <sz val="8"/>
            <color indexed="81"/>
            <rFont val="Tahoma"/>
            <family val="2"/>
          </rPr>
          <t xml:space="preserve">
</t>
        </r>
        <r>
          <rPr>
            <b/>
            <sz val="8"/>
            <color indexed="81"/>
            <rFont val="Tahoma"/>
            <family val="2"/>
          </rPr>
          <t>Select cells in this row</t>
        </r>
        <r>
          <rPr>
            <sz val="8"/>
            <color indexed="81"/>
            <rFont val="Tahoma"/>
            <family val="2"/>
          </rPr>
          <t xml:space="preserve"> up to and including the last of the contiguous non-zero numbers. Don't include any zero cells.
</t>
        </r>
        <r>
          <rPr>
            <b/>
            <sz val="8"/>
            <color indexed="81"/>
            <rFont val="Tahoma"/>
            <family val="2"/>
          </rPr>
          <t xml:space="preserve">Copy </t>
        </r>
        <r>
          <rPr>
            <sz val="8"/>
            <color indexed="81"/>
            <rFont val="Tahoma"/>
            <family val="2"/>
          </rPr>
          <t xml:space="preserve">the selected data into an open appropriate non-Excel App eg MS Word.
</t>
        </r>
        <r>
          <rPr>
            <b/>
            <sz val="8"/>
            <color indexed="81"/>
            <rFont val="Tahoma"/>
            <family val="2"/>
          </rPr>
          <t>Re-cop</t>
        </r>
        <r>
          <rPr>
            <sz val="8"/>
            <color indexed="81"/>
            <rFont val="Tahoma"/>
            <family val="2"/>
          </rPr>
          <t>y that data row back into its original location using "Paste Special", choosing "Match Destination Formatting".</t>
        </r>
      </text>
    </comment>
    <comment ref="A68" authorId="1" shapeId="0" xr:uid="{5EAA907C-AFA3-4301-9EC3-4CB3049A1BA3}">
      <text>
        <r>
          <rPr>
            <b/>
            <sz val="8"/>
            <color indexed="81"/>
            <rFont val="Tahoma"/>
            <family val="2"/>
          </rPr>
          <t xml:space="preserve">Step 5: Freezing Current SPs. </t>
        </r>
        <r>
          <rPr>
            <sz val="8"/>
            <color indexed="81"/>
            <rFont val="Tahoma"/>
            <family val="2"/>
          </rPr>
          <t>Apply the same process as Step 4 above, to this row.
Then proceed to Step 6 -------&gt;</t>
        </r>
      </text>
    </comment>
    <comment ref="A69" authorId="1" shapeId="0" xr:uid="{3F9893D1-2F5C-49B2-A8F8-B87D9484186B}">
      <text>
        <r>
          <rPr>
            <b/>
            <sz val="8"/>
            <color indexed="81"/>
            <rFont val="Tahoma"/>
            <family val="2"/>
          </rPr>
          <t xml:space="preserve">Helpful Tip:
</t>
        </r>
        <r>
          <rPr>
            <sz val="8"/>
            <color indexed="81"/>
            <rFont val="Tahoma"/>
            <family val="2"/>
          </rPr>
          <t>This row is only used at Initial setup and if ThL&gt;0,
by following Step 6.
Thereafter it is irrelevant.</t>
        </r>
      </text>
    </comment>
    <comment ref="P69" authorId="2" shapeId="0" xr:uid="{26EF781C-D095-4A70-B8BF-929D8569377D}">
      <text>
        <r>
          <rPr>
            <b/>
            <sz val="8"/>
            <color indexed="81"/>
            <rFont val="Tahoma"/>
            <family val="2"/>
          </rPr>
          <t xml:space="preserve">Step 6: Freezing LoM Total &amp; Fraction. This action is only required once, at startup of character, and if ThL &gt; 0
</t>
        </r>
        <r>
          <rPr>
            <sz val="8"/>
            <color indexed="81"/>
            <rFont val="Tahoma"/>
            <family val="2"/>
          </rPr>
          <t xml:space="preserve">Freeze these two LoM values in place by the same process as previously described, ie:
</t>
        </r>
        <r>
          <rPr>
            <b/>
            <sz val="8"/>
            <color indexed="81"/>
            <rFont val="Tahoma"/>
            <family val="2"/>
          </rPr>
          <t>Select</t>
        </r>
        <r>
          <rPr>
            <sz val="8"/>
            <color indexed="81"/>
            <rFont val="Tahoma"/>
            <family val="2"/>
          </rPr>
          <t xml:space="preserve"> the required two cells-&gt;</t>
        </r>
        <r>
          <rPr>
            <b/>
            <sz val="8"/>
            <color indexed="81"/>
            <rFont val="Tahoma"/>
            <family val="2"/>
          </rPr>
          <t>Copy</t>
        </r>
        <r>
          <rPr>
            <sz val="8"/>
            <color indexed="81"/>
            <rFont val="Tahoma"/>
            <family val="2"/>
          </rPr>
          <t xml:space="preserve">-&gt;
</t>
        </r>
        <r>
          <rPr>
            <b/>
            <sz val="8"/>
            <color indexed="81"/>
            <rFont val="Tahoma"/>
            <family val="2"/>
          </rPr>
          <t xml:space="preserve">Paste </t>
        </r>
        <r>
          <rPr>
            <sz val="8"/>
            <color indexed="81"/>
            <rFont val="Tahoma"/>
            <family val="2"/>
          </rPr>
          <t xml:space="preserve">into an appropriate non-Excel App (eg MS Word)-&gt;
</t>
        </r>
        <r>
          <rPr>
            <b/>
            <sz val="8"/>
            <color indexed="81"/>
            <rFont val="Tahoma"/>
            <family val="2"/>
          </rPr>
          <t>Re-Copy</t>
        </r>
        <r>
          <rPr>
            <sz val="8"/>
            <color indexed="81"/>
            <rFont val="Tahoma"/>
            <family val="2"/>
          </rPr>
          <t xml:space="preserve"> from new location--&gt;
</t>
        </r>
        <r>
          <rPr>
            <b/>
            <sz val="8"/>
            <color indexed="81"/>
            <rFont val="Tahoma"/>
            <family val="2"/>
          </rPr>
          <t>Paste</t>
        </r>
        <r>
          <rPr>
            <sz val="8"/>
            <color indexed="81"/>
            <rFont val="Tahoma"/>
            <family val="2"/>
          </rPr>
          <t xml:space="preserve"> back into original Excel Location, using
"Paste Special" choosing "Match Destination Formatting".</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AndrewM</author>
  </authors>
  <commentList>
    <comment ref="A1" authorId="0" shapeId="0" xr:uid="{6D2AF0B4-5744-4E84-8536-116494CE7163}">
      <text>
        <r>
          <rPr>
            <b/>
            <sz val="9"/>
            <color indexed="81"/>
            <rFont val="Tahoma"/>
            <family val="2"/>
          </rPr>
          <t xml:space="preserve">Helpful Hint: </t>
        </r>
        <r>
          <rPr>
            <sz val="9"/>
            <color indexed="81"/>
            <rFont val="Tahoma"/>
            <family val="2"/>
          </rPr>
          <t>This System Worksheet is Locked to prevent accidental Editing.
To enable Editing on this Sheet:
Rt-Click on the Worksheet Tab, and select UNPROTECT SHEET.
Password= Anarea</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AndrewM</author>
  </authors>
  <commentList>
    <comment ref="A1" authorId="0" shapeId="0" xr:uid="{F3702A6C-EFC2-4116-8B60-07A40012A265}">
      <text>
        <r>
          <rPr>
            <b/>
            <sz val="9"/>
            <color indexed="81"/>
            <rFont val="Tahoma"/>
            <family val="2"/>
          </rPr>
          <t xml:space="preserve">Helpful Hint: </t>
        </r>
        <r>
          <rPr>
            <sz val="9"/>
            <color indexed="81"/>
            <rFont val="Tahoma"/>
            <family val="2"/>
          </rPr>
          <t>This System Worksheet is Locked to prevent accidental Editing.
To enable Editing on this Sheet:
Rt-Click on the Worksheet Tab, and select UNPROTECT SHEET.
Password= Anarea</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AndrewM</author>
  </authors>
  <commentList>
    <comment ref="A1" authorId="0" shapeId="0" xr:uid="{C854A6E1-A285-4276-9679-CCA4DBD41092}">
      <text>
        <r>
          <rPr>
            <b/>
            <sz val="9"/>
            <color indexed="81"/>
            <rFont val="Tahoma"/>
            <family val="2"/>
          </rPr>
          <t>Helpful Hint:</t>
        </r>
        <r>
          <rPr>
            <sz val="9"/>
            <color indexed="81"/>
            <rFont val="Tahoma"/>
            <family val="2"/>
          </rPr>
          <t xml:space="preserve"> This System Worksheet is Locked to prevent accidental Editing.
To enable Editing on this Sheet:
Rt-Click on the Worksheet Tab, and select UNPROTECT SHEET.
Password= Anarea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Andy Murray</author>
  </authors>
  <commentList>
    <comment ref="A3" authorId="0" shapeId="0" xr:uid="{00000000-0006-0000-0100-000001000000}">
      <text>
        <r>
          <rPr>
            <b/>
            <sz val="8"/>
            <color indexed="81"/>
            <rFont val="Tahoma"/>
            <family val="2"/>
          </rPr>
          <t>Insert/delete lines as required.</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AndrewM</author>
    <author>Andy Murray</author>
  </authors>
  <commentList>
    <comment ref="F4" authorId="0" shapeId="0" xr:uid="{746D629A-472E-4CC8-B2DA-EC091F94BB9C}">
      <text>
        <r>
          <rPr>
            <sz val="9"/>
            <color indexed="81"/>
            <rFont val="Tahoma"/>
            <family val="2"/>
          </rPr>
          <t>Select Yes if deciding  to use Weapon in non-dominant hand and/or Shield in dominant hand.</t>
        </r>
      </text>
    </comment>
    <comment ref="I7" authorId="0" shapeId="0" xr:uid="{00B71800-8796-4718-A4DA-A5541F90548A}">
      <text>
        <r>
          <rPr>
            <b/>
            <sz val="8"/>
            <color indexed="81"/>
            <rFont val="Tahoma"/>
            <family val="2"/>
          </rPr>
          <t>Includes</t>
        </r>
        <r>
          <rPr>
            <sz val="8"/>
            <color indexed="81"/>
            <rFont val="Tahoma"/>
            <family val="2"/>
          </rPr>
          <t xml:space="preserve"> Dx(Ph) Penalty from Armour Encumbrance; 
</t>
        </r>
        <r>
          <rPr>
            <b/>
            <sz val="8"/>
            <color indexed="81"/>
            <rFont val="Tahoma"/>
            <family val="2"/>
          </rPr>
          <t>Not Including</t>
        </r>
        <r>
          <rPr>
            <sz val="8"/>
            <color indexed="81"/>
            <rFont val="Tahoma"/>
            <family val="2"/>
          </rPr>
          <t>: General Damage Effects, Pain Levels, Spell Point Fatigue, Dehydration, Starvation</t>
        </r>
        <r>
          <rPr>
            <sz val="9"/>
            <color indexed="81"/>
            <rFont val="Tahoma"/>
            <family val="2"/>
          </rPr>
          <t>.</t>
        </r>
      </text>
    </comment>
    <comment ref="I8" authorId="1" shapeId="0" xr:uid="{00000000-0006-0000-0200-000001000000}">
      <text>
        <r>
          <rPr>
            <sz val="8"/>
            <color indexed="81"/>
            <rFont val="Tahoma"/>
            <family val="2"/>
          </rPr>
          <t>Set WS for each Weapon Class making sure that this cell does not show error.</t>
        </r>
      </text>
    </comment>
    <comment ref="B9" authorId="0" shapeId="0" xr:uid="{08490421-F737-433B-AA8B-D6ACC6D3CD39}">
      <text>
        <r>
          <rPr>
            <sz val="8"/>
            <color indexed="81"/>
            <rFont val="Tahoma"/>
            <family val="2"/>
          </rPr>
          <t xml:space="preserve">Weapon Specialty is trained by Weapon Class eg Swords, Axes, Hammers, Crossbows, etc..
For each listed weapon, enter the appplicable trained WS for its relevant Weapon Class. 
Eg all </t>
        </r>
        <r>
          <rPr>
            <b/>
            <sz val="8"/>
            <color indexed="81"/>
            <rFont val="Tahoma"/>
            <family val="2"/>
          </rPr>
          <t>Weapon Class: Swords</t>
        </r>
        <r>
          <rPr>
            <sz val="8"/>
            <color indexed="81"/>
            <rFont val="Tahoma"/>
            <family val="2"/>
          </rPr>
          <t xml:space="preserve"> in your final list should have the same WS value.</t>
        </r>
      </text>
    </comment>
    <comment ref="D11" authorId="0" shapeId="0" xr:uid="{4C7F121E-FF83-4571-86DD-F39F1DA355BD}">
      <text>
        <r>
          <rPr>
            <sz val="9"/>
            <color indexed="81"/>
            <rFont val="Tahoma"/>
            <family val="2"/>
          </rPr>
          <t>ML = MithriL Edge/tip
MA= MAgical
ML+MA = Both
Std = Neither</t>
        </r>
      </text>
    </comment>
    <comment ref="P11" authorId="1" shapeId="0" xr:uid="{00000000-0006-0000-0200-000002000000}">
      <text>
        <r>
          <rPr>
            <sz val="8"/>
            <color indexed="81"/>
            <rFont val="Tahoma"/>
            <family val="2"/>
          </rPr>
          <t>Enter bonuses below for</t>
        </r>
        <r>
          <rPr>
            <b/>
            <sz val="8"/>
            <color indexed="81"/>
            <rFont val="Tahoma"/>
            <family val="2"/>
          </rPr>
          <t xml:space="preserve"> M</t>
        </r>
        <r>
          <rPr>
            <sz val="8"/>
            <color indexed="81"/>
            <rFont val="Tahoma"/>
            <family val="2"/>
          </rPr>
          <t>ithri</t>
        </r>
        <r>
          <rPr>
            <b/>
            <sz val="8"/>
            <color indexed="81"/>
            <rFont val="Tahoma"/>
            <family val="2"/>
          </rPr>
          <t>L</t>
        </r>
        <r>
          <rPr>
            <sz val="8"/>
            <color indexed="81"/>
            <rFont val="Tahoma"/>
            <family val="2"/>
          </rPr>
          <t xml:space="preserve"> Bonuses to DAM, and/or </t>
        </r>
        <r>
          <rPr>
            <b/>
            <sz val="8"/>
            <color indexed="81"/>
            <rFont val="Tahoma"/>
            <family val="2"/>
          </rPr>
          <t>MA</t>
        </r>
        <r>
          <rPr>
            <sz val="8"/>
            <color indexed="81"/>
            <rFont val="Tahoma"/>
            <family val="2"/>
          </rPr>
          <t>gical bonuses to A, DAM, and P</t>
        </r>
      </text>
    </comment>
    <comment ref="B13" authorId="0" shapeId="0" xr:uid="{3DF02E6E-81E8-4C21-B7D5-E8D3783B0BEC}">
      <text>
        <r>
          <rPr>
            <sz val="8"/>
            <color indexed="81"/>
            <rFont val="Tahoma"/>
            <family val="2"/>
          </rPr>
          <t>Ensure that all Weapons of the same Weapon Class show the same WS value.</t>
        </r>
      </text>
    </comment>
    <comment ref="C13" authorId="1" shapeId="0" xr:uid="{00000000-0006-0000-0200-000003000000}">
      <text>
        <r>
          <rPr>
            <sz val="8"/>
            <color indexed="81"/>
            <rFont val="Tahoma"/>
            <family val="2"/>
          </rPr>
          <t>Select row and copy for additional weapons, or for spear &amp; lance which have multiple attack modes.
NB WS is trained and allocated by Weapons Class not by Weapon Type (Ftr System v4). 
All selected Melee Weapons belonging to the same Weapon Class should be in adjacent rows.</t>
        </r>
      </text>
    </comment>
    <comment ref="B22" authorId="0" shapeId="0" xr:uid="{6DFBDB09-543F-421E-8B8B-2D29E6136234}">
      <text>
        <r>
          <rPr>
            <sz val="8"/>
            <color indexed="81"/>
            <rFont val="Tahoma"/>
            <family val="2"/>
          </rPr>
          <t xml:space="preserve">For each listed weapon, enter the appplicable trained WS for its relevant Weapon Class. 
Eg all </t>
        </r>
        <r>
          <rPr>
            <b/>
            <sz val="8"/>
            <color indexed="81"/>
            <rFont val="Tahoma"/>
            <family val="2"/>
          </rPr>
          <t xml:space="preserve">Weapon Class: Bows </t>
        </r>
        <r>
          <rPr>
            <sz val="8"/>
            <color indexed="81"/>
            <rFont val="Tahoma"/>
            <family val="2"/>
          </rPr>
          <t>in your final list should have the same WS value. NB Crossbows, Longbows, Bows are all distinct Weapon Classes.</t>
        </r>
      </text>
    </comment>
    <comment ref="B26" authorId="0" shapeId="0" xr:uid="{61BE6203-2B60-48E1-AA1D-3F7AF487D028}">
      <text>
        <r>
          <rPr>
            <sz val="8"/>
            <color indexed="81"/>
            <rFont val="Tahoma"/>
            <family val="2"/>
          </rPr>
          <t xml:space="preserve">For each listed Weapon, enter the appplicable trained WS for its relevant Weapon Class. Eg all </t>
        </r>
        <r>
          <rPr>
            <b/>
            <sz val="8"/>
            <color indexed="81"/>
            <rFont val="Tahoma"/>
            <family val="2"/>
          </rPr>
          <t>Weapon Class: Axes</t>
        </r>
        <r>
          <rPr>
            <sz val="8"/>
            <color indexed="81"/>
            <rFont val="Tahoma"/>
            <family val="2"/>
          </rPr>
          <t xml:space="preserve"> in your final list of Thrown Weapons should have the same WS value as all</t>
        </r>
        <r>
          <rPr>
            <b/>
            <sz val="8"/>
            <color indexed="81"/>
            <rFont val="Tahoma"/>
            <family val="2"/>
          </rPr>
          <t xml:space="preserve"> Axes</t>
        </r>
        <r>
          <rPr>
            <sz val="8"/>
            <color indexed="81"/>
            <rFont val="Tahoma"/>
            <family val="2"/>
          </rPr>
          <t xml:space="preserve"> in this weapons table.</t>
        </r>
      </text>
    </comment>
    <comment ref="C26" authorId="0" shapeId="0" xr:uid="{B3B8EBDB-C43F-4AA3-A584-CAC843880C04}">
      <text>
        <r>
          <rPr>
            <sz val="8"/>
            <color indexed="81"/>
            <rFont val="Tahoma"/>
            <family val="2"/>
          </rPr>
          <t>Select row and copy for additional weapons</t>
        </r>
      </text>
    </comment>
    <comment ref="D26" authorId="0" shapeId="0" xr:uid="{B4FF81EF-F73A-42FD-8801-59FFAEBE2724}">
      <text>
        <r>
          <rPr>
            <sz val="8"/>
            <color indexed="81"/>
            <rFont val="Tahoma"/>
            <family val="2"/>
          </rPr>
          <t xml:space="preserve">ML = </t>
        </r>
        <r>
          <rPr>
            <b/>
            <sz val="8"/>
            <color indexed="81"/>
            <rFont val="Tahoma"/>
            <family val="2"/>
          </rPr>
          <t>M</t>
        </r>
        <r>
          <rPr>
            <sz val="8"/>
            <color indexed="81"/>
            <rFont val="Tahoma"/>
            <family val="2"/>
          </rPr>
          <t>ithri</t>
        </r>
        <r>
          <rPr>
            <b/>
            <sz val="8"/>
            <color indexed="81"/>
            <rFont val="Tahoma"/>
            <family val="2"/>
          </rPr>
          <t>L</t>
        </r>
        <r>
          <rPr>
            <sz val="8"/>
            <color indexed="81"/>
            <rFont val="Tahoma"/>
            <family val="2"/>
          </rPr>
          <t xml:space="preserve"> Edge/tip
MA= </t>
        </r>
        <r>
          <rPr>
            <b/>
            <sz val="8"/>
            <color indexed="81"/>
            <rFont val="Tahoma"/>
            <family val="2"/>
          </rPr>
          <t>MA</t>
        </r>
        <r>
          <rPr>
            <sz val="8"/>
            <color indexed="81"/>
            <rFont val="Tahoma"/>
            <family val="2"/>
          </rPr>
          <t>gical
ML+MA = Both
Std = Neither</t>
        </r>
      </text>
    </comment>
    <comment ref="D28" authorId="0" shapeId="0" xr:uid="{D59E0C8C-D91D-4B6A-851D-15437F8E009D}">
      <text>
        <r>
          <rPr>
            <sz val="8"/>
            <color indexed="81"/>
            <rFont val="Tahoma"/>
            <family val="2"/>
          </rPr>
          <t>Enter StN here for any specified Miscellaneous Thrown Object which could realistically have range 60ft with intent to harm, with the proposed StN.</t>
        </r>
      </text>
    </comment>
    <comment ref="G30" authorId="1" shapeId="0" xr:uid="{00000000-0006-0000-0200-000005000000}">
      <text>
        <r>
          <rPr>
            <sz val="8"/>
            <color indexed="81"/>
            <rFont val="Tahoma"/>
            <family val="2"/>
          </rPr>
          <t>Enchantment or strengthened metal effects.</t>
        </r>
      </text>
    </comment>
    <comment ref="H39" authorId="0" shapeId="0" xr:uid="{57EE5ACC-56D3-43F6-9AB2-8531509B775F}">
      <text>
        <r>
          <rPr>
            <b/>
            <sz val="8"/>
            <color indexed="81"/>
            <rFont val="Tahoma"/>
            <family val="2"/>
          </rPr>
          <t>Mandatory Field</t>
        </r>
        <r>
          <rPr>
            <sz val="8"/>
            <color indexed="81"/>
            <rFont val="Tahoma"/>
            <family val="2"/>
          </rPr>
          <t xml:space="preserve"> including for Non-Thieves.
Enter the Thievish Multiplier for majority coverage Armour Type. 
</t>
        </r>
        <r>
          <rPr>
            <b/>
            <sz val="8"/>
            <color indexed="81"/>
            <rFont val="Tahoma"/>
            <family val="2"/>
          </rPr>
          <t xml:space="preserve">Ref: </t>
        </r>
        <r>
          <rPr>
            <sz val="8"/>
            <color indexed="81"/>
            <rFont val="Tahoma"/>
            <family val="2"/>
          </rPr>
          <t>www.anarea.co.uk/Systems/Thief/Cloak_and_Dagger.html#Armour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AndrewM</author>
    <author>Andy Murray</author>
  </authors>
  <commentList>
    <comment ref="I1" authorId="0" shapeId="0" xr:uid="{7C96F419-A015-488A-BF01-B3379B18CD5B}">
      <text>
        <r>
          <rPr>
            <b/>
            <sz val="8"/>
            <color indexed="81"/>
            <rFont val="Tahoma"/>
            <family val="2"/>
          </rPr>
          <t xml:space="preserve">Includes </t>
        </r>
        <r>
          <rPr>
            <sz val="8"/>
            <color indexed="81"/>
            <rFont val="Tahoma"/>
            <family val="2"/>
          </rPr>
          <t xml:space="preserve">Dx(Ph) Penalty from Armour Encumbrance, NOT from General Damage Effects, Pain Levels, Spell Point Fatigue, Dehydration, Starvation etc.
</t>
        </r>
        <r>
          <rPr>
            <i/>
            <sz val="8"/>
            <color indexed="81"/>
            <rFont val="Tahoma"/>
            <family val="2"/>
          </rPr>
          <t xml:space="preserve">Tech comment: Affects </t>
        </r>
        <r>
          <rPr>
            <b/>
            <i/>
            <sz val="8"/>
            <color indexed="81"/>
            <rFont val="Tahoma"/>
            <family val="2"/>
          </rPr>
          <t>M</t>
        </r>
        <r>
          <rPr>
            <i/>
            <sz val="8"/>
            <color indexed="81"/>
            <rFont val="Tahoma"/>
            <family val="2"/>
          </rPr>
          <t xml:space="preserve"> via ChMod for Dx(Ph)</t>
        </r>
      </text>
    </comment>
    <comment ref="I2" authorId="0" shapeId="0" xr:uid="{CCA8A89C-6CD2-47D9-9F84-05327BC0E9F2}">
      <text>
        <r>
          <rPr>
            <b/>
            <sz val="8"/>
            <color indexed="81"/>
            <rFont val="Tahoma"/>
            <family val="2"/>
          </rPr>
          <t xml:space="preserve">Total Encumbrance adds to Thievish DL for Activity Classes </t>
        </r>
        <r>
          <rPr>
            <sz val="8"/>
            <color indexed="81"/>
            <rFont val="Tahoma"/>
            <family val="2"/>
          </rPr>
          <t>HIDE, MtoM, CLIMB. +w(w+1)/2 for each full 500w WPts of Encumbrance. No effect on other Classes.
Additional DL Elements at DM's discretion as always.</t>
        </r>
        <r>
          <rPr>
            <sz val="9"/>
            <color indexed="81"/>
            <rFont val="Tahoma"/>
            <family val="2"/>
          </rPr>
          <t xml:space="preserve"> </t>
        </r>
      </text>
    </comment>
    <comment ref="I3" authorId="0" shapeId="0" xr:uid="{7F14BFF7-B00E-43D6-85CF-FD79D808EF73}">
      <text>
        <r>
          <rPr>
            <sz val="8"/>
            <color indexed="81"/>
            <rFont val="Tahoma"/>
            <family val="2"/>
          </rPr>
          <t>Retrieved from the mandatory field entry in Fighter Abilities Tab: located beneath the Armour Coverage Table.
Do not Edit this field</t>
        </r>
      </text>
    </comment>
    <comment ref="E9" authorId="0" shapeId="0" xr:uid="{362D310B-59B7-42A1-B406-F46DBBD81C23}">
      <text>
        <r>
          <rPr>
            <b/>
            <sz val="8"/>
            <color indexed="81"/>
            <rFont val="Tahoma"/>
            <family val="2"/>
          </rPr>
          <t xml:space="preserve">Includes where applicable:
</t>
        </r>
        <r>
          <rPr>
            <sz val="8"/>
            <color indexed="81"/>
            <rFont val="Tahoma"/>
            <family val="2"/>
          </rPr>
          <t>any penalties to Dx(Ph) from effects of Armour Encumbrance ≥ 300 WPts.
Does NOT include penalties from Spell Point fatigue, Pain Levels, General Damage, Dehydration, Starvation.</t>
        </r>
      </text>
    </comment>
    <comment ref="H9" authorId="0" shapeId="0" xr:uid="{D9B22A8C-AD42-4684-B206-8C573135CEC7}">
      <text>
        <r>
          <rPr>
            <b/>
            <sz val="8"/>
            <color indexed="81"/>
            <rFont val="Tahoma"/>
            <family val="2"/>
          </rPr>
          <t>Includes where applicable:</t>
        </r>
        <r>
          <rPr>
            <sz val="8"/>
            <color indexed="81"/>
            <rFont val="Tahoma"/>
            <family val="2"/>
          </rPr>
          <t xml:space="preserve">
a) any penalties to Dx(Ph) from effects of Armour Encumbrance ≥ 300 WPts; also 
b) DL*10 minuses from Total Encumbrance ≥500WPts.
</t>
        </r>
        <r>
          <rPr>
            <b/>
            <sz val="8"/>
            <color indexed="81"/>
            <rFont val="Tahoma"/>
            <family val="2"/>
          </rPr>
          <t>Does NOT include:</t>
        </r>
        <r>
          <rPr>
            <sz val="8"/>
            <color indexed="81"/>
            <rFont val="Tahoma"/>
            <family val="2"/>
          </rPr>
          <t xml:space="preserve"> Char penalties from Spell Point fatigue, Pain Levels, GenDamage, Dehydration, Starvation</t>
        </r>
        <r>
          <rPr>
            <sz val="9"/>
            <color indexed="81"/>
            <rFont val="Tahoma"/>
            <family val="2"/>
          </rPr>
          <t>.</t>
        </r>
      </text>
    </comment>
    <comment ref="B75" authorId="1" shapeId="0" xr:uid="{00000000-0006-0000-0300-000001000000}">
      <text>
        <r>
          <rPr>
            <sz val="8"/>
            <color indexed="81"/>
            <rFont val="Tahoma"/>
            <family val="2"/>
          </rPr>
          <t>Decide LofM making sure that this cell's value is zero or more.</t>
        </r>
      </text>
    </comment>
    <comment ref="F76" authorId="1" shapeId="0" xr:uid="{00000000-0006-0000-0300-000002000000}">
      <text>
        <r>
          <rPr>
            <sz val="8"/>
            <color indexed="81"/>
            <rFont val="Tahoma"/>
            <family val="2"/>
          </rPr>
          <t>Allocate pluses so that the total is the same as the value calculated from the Thief level.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Andy Murray</author>
    <author>AndrewM</author>
  </authors>
  <commentList>
    <comment ref="B4" authorId="0" shapeId="0" xr:uid="{00000000-0006-0000-0400-000001000000}">
      <text>
        <r>
          <rPr>
            <sz val="8"/>
            <color indexed="81"/>
            <rFont val="Tahoma"/>
            <family val="2"/>
          </rPr>
          <t>KOROS spell list given as example.  Insert spell list for the GOD in question.</t>
        </r>
      </text>
    </comment>
    <comment ref="A7" authorId="1" shapeId="0" xr:uid="{581F8E68-8409-4AD2-B096-20D3804ACEC5}">
      <text>
        <r>
          <rPr>
            <sz val="9"/>
            <color indexed="81"/>
            <rFont val="Tahoma"/>
            <family val="2"/>
          </rPr>
          <t>May be Base Temple, Sectarian/Factional/Cult Location or region of Worship; Or Diocese, or alternative description eg Chapter, Mission, Kasbah etc. As relevant.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Andy Murray</author>
  </authors>
  <commentList>
    <comment ref="A3" authorId="0" shapeId="0" xr:uid="{00000000-0006-0000-0500-000002000000}">
      <text>
        <r>
          <rPr>
            <sz val="8"/>
            <color indexed="81"/>
            <rFont val="Tahoma"/>
            <family val="2"/>
          </rPr>
          <t>Standard druidic list provided.  Other cults have different lists and media.</t>
        </r>
      </text>
    </comment>
    <comment ref="D17" authorId="0" shapeId="0" xr:uid="{00000000-0006-0000-0500-000001000000}">
      <text>
        <r>
          <rPr>
            <sz val="8"/>
            <color indexed="81"/>
            <rFont val="Tahoma"/>
            <family val="2"/>
          </rPr>
          <t>Decide which media to carry and keep track of decay for media harvested on the optimum day.  For others, make sure that the stocks are replenished regularly (i.e. +8 is standard)</t>
        </r>
      </text>
    </comment>
    <comment ref="G26" authorId="0" shapeId="0" xr:uid="{00000000-0006-0000-0500-000003000000}">
      <text>
        <r>
          <rPr>
            <sz val="8"/>
            <color indexed="81"/>
            <rFont val="Tahoma"/>
            <family val="2"/>
          </rPr>
          <t>Make sure that all spells taken by the druid are marked as learnt.  Note that command spells take the value 2, not 1 if learnt.  0 always means not learnt.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Andy Murray</author>
  </authors>
  <commentList>
    <comment ref="A13" authorId="0" shapeId="0" xr:uid="{00000000-0006-0000-0600-000001000000}">
      <text>
        <r>
          <rPr>
            <sz val="8"/>
            <color indexed="81"/>
            <rFont val="Tahoma"/>
            <family val="2"/>
          </rPr>
          <t>To add new spells and clasess, copy an existing row, insert and then edit it.  For enchanter, charmer, illusionist and teleport spells, you will have to correct the formula in the 'Total +:' column to reflect chmod/2 bonuses.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AndrewM</author>
    <author>Andy Murray</author>
  </authors>
  <commentList>
    <comment ref="K17" authorId="0" shapeId="0" xr:uid="{07C05B66-C87F-4DE5-8932-8FC88131706F}">
      <text>
        <r>
          <rPr>
            <b/>
            <sz val="9"/>
            <color indexed="81"/>
            <rFont val="Tahoma"/>
            <family val="2"/>
          </rPr>
          <t xml:space="preserve">Helpful Tip:
</t>
        </r>
        <r>
          <rPr>
            <sz val="9"/>
            <color indexed="81"/>
            <rFont val="Tahoma"/>
            <family val="2"/>
          </rPr>
          <t>Armour Encumbrance ≥ 300w WPts reduces Dx(Ph) by -w(w+1)/2.
NB This Calculated Cell is referenced by other TAB pages in the Workbook. Don't  overwriite it, nor permit it to display anything other than a number.</t>
        </r>
      </text>
    </comment>
    <comment ref="A18" authorId="1" shapeId="0" xr:uid="{00000000-0006-0000-0800-000001000000}">
      <text>
        <r>
          <rPr>
            <sz val="8"/>
            <color indexed="81"/>
            <rFont val="Tahoma"/>
            <family val="2"/>
          </rPr>
          <t>Shield type carried.  Copy row if more than one type.</t>
        </r>
      </text>
    </comment>
    <comment ref="A20" authorId="1" shapeId="0" xr:uid="{00000000-0006-0000-0800-000002000000}">
      <text>
        <r>
          <rPr>
            <sz val="8"/>
            <color indexed="81"/>
            <rFont val="Tahoma"/>
            <family val="2"/>
          </rPr>
          <t>Copy row and edit for further melee weapons.  Only one row for spear/lance.</t>
        </r>
      </text>
    </comment>
    <comment ref="A24" authorId="1" shapeId="0" xr:uid="{00000000-0006-0000-0800-000003000000}">
      <text>
        <r>
          <rPr>
            <sz val="8"/>
            <color indexed="81"/>
            <rFont val="Tahoma"/>
            <family val="2"/>
          </rPr>
          <t>Copy this row and the next for additional range weapons.</t>
        </r>
      </text>
    </comment>
    <comment ref="A27" authorId="1" shapeId="0" xr:uid="{00000000-0006-0000-0800-000004000000}">
      <text>
        <r>
          <rPr>
            <sz val="8"/>
            <color indexed="81"/>
            <rFont val="Tahoma"/>
            <family val="2"/>
          </rPr>
          <t xml:space="preserve">Copy row for additional thrown weapons.  </t>
        </r>
      </text>
    </comment>
    <comment ref="K73" authorId="0" shapeId="0" xr:uid="{CD9D6628-6227-4688-84FE-7859AFCC5EB2}">
      <text>
        <r>
          <rPr>
            <b/>
            <sz val="9"/>
            <color indexed="81"/>
            <rFont val="Tahoma"/>
            <family val="2"/>
          </rPr>
          <t xml:space="preserve">Helpful Tips:
</t>
        </r>
        <r>
          <rPr>
            <sz val="9"/>
            <color indexed="81"/>
            <rFont val="Tahoma"/>
            <family val="2"/>
          </rPr>
          <t>Total Encumbrance ≥ 500 WPts adds DL to Thievish Activity Classes HIDE, MAN-to-MAN, CLIMB.
Total Encumbrance &gt; Carrying Capacity reduces movement allowance.
NB This Calculated Cell is referenced by other TAB pages in the Workbook. Don't  overwriite it, nor permit it to display anything other than a number.</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AndrewM</author>
  </authors>
  <commentList>
    <comment ref="A1" authorId="0" shapeId="0" xr:uid="{9FB0F4B6-C3BA-429F-AB2A-2E654D63AE1A}">
      <text>
        <r>
          <rPr>
            <b/>
            <sz val="9"/>
            <color indexed="81"/>
            <rFont val="Tahoma"/>
            <family val="2"/>
          </rPr>
          <t xml:space="preserve">Helpful Hint: </t>
        </r>
        <r>
          <rPr>
            <sz val="9"/>
            <color indexed="81"/>
            <rFont val="Tahoma"/>
            <family val="2"/>
          </rPr>
          <t>This System Worksheet is Locked to prevent accidental Editing.
To enable Editing on this Sheet:
Rt-Click on the Worksheet Tab, and select UNPROTECT SHEET.
Password= Anarea</t>
        </r>
      </text>
    </comment>
    <comment ref="G90" authorId="0" shapeId="0" xr:uid="{AF433A36-859F-4180-8409-4B0189802364}">
      <text>
        <r>
          <rPr>
            <sz val="9"/>
            <color indexed="81"/>
            <rFont val="Tahoma"/>
            <family val="2"/>
          </rPr>
          <t>Min = 0 DAM</t>
        </r>
      </text>
    </comment>
  </commentList>
</comments>
</file>

<file path=xl/sharedStrings.xml><?xml version="1.0" encoding="utf-8"?>
<sst xmlns="http://schemas.openxmlformats.org/spreadsheetml/2006/main" count="2192" uniqueCount="1481">
  <si>
    <t>Number:</t>
  </si>
  <si>
    <t>Character Name:</t>
  </si>
  <si>
    <t>Name</t>
  </si>
  <si>
    <t>Player:</t>
  </si>
  <si>
    <t>player</t>
  </si>
  <si>
    <t>Char:</t>
  </si>
  <si>
    <t>Mod:</t>
  </si>
  <si>
    <t>Mod/2:</t>
  </si>
  <si>
    <t>Normal?</t>
  </si>
  <si>
    <t>No</t>
  </si>
  <si>
    <t/>
  </si>
  <si>
    <t>Race:</t>
  </si>
  <si>
    <t>Human, Westerner</t>
  </si>
  <si>
    <t>Sex:</t>
  </si>
  <si>
    <t>Male</t>
  </si>
  <si>
    <t>Social Class:</t>
  </si>
  <si>
    <t>Age:</t>
  </si>
  <si>
    <t xml:space="preserve">b </t>
  </si>
  <si>
    <t>Description:</t>
  </si>
  <si>
    <t>Complexion:</t>
  </si>
  <si>
    <t>Hair:</t>
  </si>
  <si>
    <t>Eyes:</t>
  </si>
  <si>
    <t>Characteristics:</t>
  </si>
  <si>
    <t>St</t>
  </si>
  <si>
    <t>Sg</t>
  </si>
  <si>
    <t>In</t>
  </si>
  <si>
    <t>Dx(Ph)</t>
  </si>
  <si>
    <t>Hr</t>
  </si>
  <si>
    <t>Dx(M)</t>
  </si>
  <si>
    <t>Tc</t>
  </si>
  <si>
    <t>Mr</t>
  </si>
  <si>
    <t>Co</t>
  </si>
  <si>
    <t>Sm</t>
  </si>
  <si>
    <t>Wp</t>
  </si>
  <si>
    <t>Wp battles</t>
  </si>
  <si>
    <t>Sz</t>
  </si>
  <si>
    <t>Ts</t>
  </si>
  <si>
    <t>Ft</t>
  </si>
  <si>
    <t>faith in</t>
  </si>
  <si>
    <t>Bd</t>
  </si>
  <si>
    <t>Nt</t>
  </si>
  <si>
    <t>Bt</t>
  </si>
  <si>
    <t>At</t>
  </si>
  <si>
    <t>Luck</t>
  </si>
  <si>
    <t>Part lvl</t>
  </si>
  <si>
    <t>as at</t>
  </si>
  <si>
    <t>FtL</t>
  </si>
  <si>
    <t>PlL</t>
  </si>
  <si>
    <t>HP</t>
  </si>
  <si>
    <t>LofM wks</t>
  </si>
  <si>
    <t>ThL</t>
  </si>
  <si>
    <t>n/a</t>
  </si>
  <si>
    <t>SP</t>
  </si>
  <si>
    <t>BnL</t>
  </si>
  <si>
    <t>ClL</t>
  </si>
  <si>
    <t>SLLs</t>
  </si>
  <si>
    <t>DrL</t>
  </si>
  <si>
    <t>Learnt</t>
  </si>
  <si>
    <t>ElL</t>
  </si>
  <si>
    <t>USLs</t>
  </si>
  <si>
    <t>ChL</t>
  </si>
  <si>
    <t>CML</t>
  </si>
  <si>
    <t>MUL</t>
  </si>
  <si>
    <t>DrML</t>
  </si>
  <si>
    <t>Save +s</t>
  </si>
  <si>
    <t>Alignment:</t>
  </si>
  <si>
    <t>N/N</t>
  </si>
  <si>
    <t>Credit</t>
  </si>
  <si>
    <t>Languages:</t>
  </si>
  <si>
    <t>Valdrean</t>
  </si>
  <si>
    <t>FR</t>
  </si>
  <si>
    <t>Old Speech</t>
  </si>
  <si>
    <t>0LP</t>
  </si>
  <si>
    <t>Neutral Speech</t>
  </si>
  <si>
    <t>Orcish (Hellish Dialect)</t>
  </si>
  <si>
    <t>F</t>
  </si>
  <si>
    <t>Khuzdul</t>
  </si>
  <si>
    <t>K</t>
  </si>
  <si>
    <t>Sindarin</t>
  </si>
  <si>
    <t>Char Mods:</t>
  </si>
  <si>
    <t>Char</t>
  </si>
  <si>
    <t>ChMod</t>
  </si>
  <si>
    <t>ChMod/2</t>
  </si>
  <si>
    <t>Supported Races</t>
  </si>
  <si>
    <t>St/Sz common 2d6</t>
  </si>
  <si>
    <t>Dex(M/P) common 2d6</t>
  </si>
  <si>
    <t>Hd die 1</t>
  </si>
  <si>
    <t>Hd die 2</t>
  </si>
  <si>
    <t>Race row index</t>
  </si>
  <si>
    <t>Get extra char die?</t>
  </si>
  <si>
    <t>In die (d4/d6)</t>
  </si>
  <si>
    <t>Max factional LofM</t>
  </si>
  <si>
    <t>Max fractional HP</t>
  </si>
  <si>
    <t>Max fractional SP</t>
  </si>
  <si>
    <t>Fractional HP string</t>
  </si>
  <si>
    <t>Pygmy</t>
  </si>
  <si>
    <t>Fractional SP string</t>
  </si>
  <si>
    <t xml:space="preserve"> @level</t>
  </si>
  <si>
    <t>Fraction</t>
  </si>
  <si>
    <t>Total</t>
  </si>
  <si>
    <t>HPs</t>
  </si>
  <si>
    <t>SPs</t>
  </si>
  <si>
    <t>Th LofM</t>
  </si>
  <si>
    <t>Personality:</t>
  </si>
  <si>
    <t>Past History (Memories):</t>
  </si>
  <si>
    <t>Bonuses to M for Thievish Experience Pluses</t>
  </si>
  <si>
    <t>Thief Abilities:</t>
  </si>
  <si>
    <t>Restricted:</t>
  </si>
  <si>
    <t>5 * ThL:</t>
  </si>
  <si>
    <t>Pluses</t>
  </si>
  <si>
    <t>LoM</t>
  </si>
  <si>
    <t>Class:</t>
  </si>
  <si>
    <t>LofM:</t>
  </si>
  <si>
    <t>SMs:</t>
  </si>
  <si>
    <t>Type:</t>
  </si>
  <si>
    <t>Chars:</t>
  </si>
  <si>
    <t>Exp +s:</t>
  </si>
  <si>
    <t>Bonus:</t>
  </si>
  <si>
    <t>HIDE</t>
  </si>
  <si>
    <t>HS</t>
  </si>
  <si>
    <t>MS</t>
  </si>
  <si>
    <t>Wh</t>
  </si>
  <si>
    <t>$</t>
  </si>
  <si>
    <t>Ass, Cty</t>
  </si>
  <si>
    <t>Ls</t>
  </si>
  <si>
    <t>Ht</t>
  </si>
  <si>
    <t>HB</t>
  </si>
  <si>
    <t>HSm</t>
  </si>
  <si>
    <t>PU</t>
  </si>
  <si>
    <t>MtoM</t>
  </si>
  <si>
    <t>AfB</t>
  </si>
  <si>
    <t>AfS</t>
  </si>
  <si>
    <t>AbS</t>
  </si>
  <si>
    <t>Snipe</t>
  </si>
  <si>
    <t>Pp</t>
  </si>
  <si>
    <t>Cp</t>
  </si>
  <si>
    <t>Filch</t>
  </si>
  <si>
    <t>Ass, GX</t>
  </si>
  <si>
    <t>Ass</t>
  </si>
  <si>
    <t>Flw</t>
  </si>
  <si>
    <t>Stun</t>
  </si>
  <si>
    <t>OBS</t>
  </si>
  <si>
    <t>DetH Sg</t>
  </si>
  <si>
    <t>DetH Hr</t>
  </si>
  <si>
    <t>DtMM Sg</t>
  </si>
  <si>
    <t>DtMM Tc</t>
  </si>
  <si>
    <t>DetD ~Ss</t>
  </si>
  <si>
    <t>LSDs Sg</t>
  </si>
  <si>
    <t>LSDs Tc</t>
  </si>
  <si>
    <t>LHDs Sg</t>
  </si>
  <si>
    <t>LHDs Tc</t>
  </si>
  <si>
    <t>SDs  Sg</t>
  </si>
  <si>
    <t>SDs  Tc</t>
  </si>
  <si>
    <t>Hear</t>
  </si>
  <si>
    <t>NS</t>
  </si>
  <si>
    <t>Inf</t>
  </si>
  <si>
    <t>FS</t>
  </si>
  <si>
    <t>TS</t>
  </si>
  <si>
    <t>DP/IP Sm</t>
  </si>
  <si>
    <t>DP/IP Ts</t>
  </si>
  <si>
    <t>BL</t>
  </si>
  <si>
    <t>Ass, Dw, Sc (except Jn)</t>
  </si>
  <si>
    <t>FH</t>
  </si>
  <si>
    <t>Sn</t>
  </si>
  <si>
    <t>FT</t>
  </si>
  <si>
    <t>Des, Jn, MW</t>
  </si>
  <si>
    <t>Fg</t>
  </si>
  <si>
    <t>Orc, Rat, Sc</t>
  </si>
  <si>
    <t>Sct</t>
  </si>
  <si>
    <t>Ass, Sc</t>
  </si>
  <si>
    <t>Trk</t>
  </si>
  <si>
    <t>Sp</t>
  </si>
  <si>
    <t>Web</t>
  </si>
  <si>
    <t>DIS</t>
  </si>
  <si>
    <t>Apply</t>
  </si>
  <si>
    <t>Act</t>
  </si>
  <si>
    <t>Cipher</t>
  </si>
  <si>
    <t>Deciph</t>
  </si>
  <si>
    <t>Des, Jn, Sc</t>
  </si>
  <si>
    <t>Cam</t>
  </si>
  <si>
    <t>CvTr</t>
  </si>
  <si>
    <t>MkSm</t>
  </si>
  <si>
    <t>MD</t>
  </si>
  <si>
    <t>DEV</t>
  </si>
  <si>
    <t>ODs</t>
  </si>
  <si>
    <t>PLs</t>
  </si>
  <si>
    <t>RTs</t>
  </si>
  <si>
    <t>BTs</t>
  </si>
  <si>
    <t>HDs</t>
  </si>
  <si>
    <t>Weap</t>
  </si>
  <si>
    <t>CLIMB</t>
  </si>
  <si>
    <t>Bal</t>
  </si>
  <si>
    <t>ClP/R</t>
  </si>
  <si>
    <t>Chm</t>
  </si>
  <si>
    <t>ClW</t>
  </si>
  <si>
    <t>Jump</t>
  </si>
  <si>
    <t>Dw, Ice</t>
  </si>
  <si>
    <t>Ice</t>
  </si>
  <si>
    <t>Jn, Sp</t>
  </si>
  <si>
    <t>Swing</t>
  </si>
  <si>
    <t>to be allocated</t>
  </si>
  <si>
    <t>Exp +s from ThL</t>
  </si>
  <si>
    <t>From above</t>
  </si>
  <si>
    <t xml:space="preserve"> = Restricted Activity to those specified</t>
  </si>
  <si>
    <t>Thief Categories for Restricted Activities</t>
  </si>
  <si>
    <t>not applicable</t>
  </si>
  <si>
    <t>Assassins</t>
  </si>
  <si>
    <t>Cty</t>
  </si>
  <si>
    <t>City (most Ths with Urban skills)</t>
  </si>
  <si>
    <t>Des</t>
  </si>
  <si>
    <t>Desert Nomads (all have Sc)</t>
  </si>
  <si>
    <t>GX</t>
  </si>
  <si>
    <t>not Good Thieves (Neutral and Evil on G/N/E axis only)</t>
  </si>
  <si>
    <t>certain Hellish Brotherhoods only</t>
  </si>
  <si>
    <t>Icelanders</t>
  </si>
  <si>
    <t>Jn</t>
  </si>
  <si>
    <t>Jungle Tribes (all have Sc)</t>
  </si>
  <si>
    <t>MW</t>
  </si>
  <si>
    <t>Mist Warriors (all have Sc)</t>
  </si>
  <si>
    <t>Orc</t>
  </si>
  <si>
    <t>Orcs</t>
  </si>
  <si>
    <t>Rat</t>
  </si>
  <si>
    <t>Rat Cultists (all have either Cty or Sc)</t>
  </si>
  <si>
    <t>Sc</t>
  </si>
  <si>
    <t>Scouts (most Ths with Wilderness skills, incl. all Elves and Grasslanders)</t>
  </si>
  <si>
    <t>Snake Cultists</t>
  </si>
  <si>
    <t>Spider Cultists</t>
  </si>
  <si>
    <t>Sr</t>
  </si>
  <si>
    <t>Scorpion Cultists (all have Des &amp; either Cty or Sc)</t>
  </si>
  <si>
    <t>Fighter Abilities:</t>
  </si>
  <si>
    <t>FtL:</t>
  </si>
  <si>
    <t>AMR:</t>
  </si>
  <si>
    <t>T@:</t>
  </si>
  <si>
    <t>D%:</t>
  </si>
  <si>
    <t>St:</t>
  </si>
  <si>
    <t>HP:</t>
  </si>
  <si>
    <t>Size:</t>
  </si>
  <si>
    <t>S@:</t>
  </si>
  <si>
    <t>RD%:</t>
  </si>
  <si>
    <t>Co:</t>
  </si>
  <si>
    <t>B@:</t>
  </si>
  <si>
    <t>Weapon Class</t>
  </si>
  <si>
    <t>Weapon Type</t>
  </si>
  <si>
    <t>*</t>
  </si>
  <si>
    <t>WS:</t>
  </si>
  <si>
    <t>Used</t>
  </si>
  <si>
    <t>A%:</t>
  </si>
  <si>
    <t>P%:</t>
  </si>
  <si>
    <t>Dam:</t>
  </si>
  <si>
    <t>+:</t>
  </si>
  <si>
    <t>vs</t>
  </si>
  <si>
    <t>Training</t>
  </si>
  <si>
    <t>Disemb</t>
  </si>
  <si>
    <t>leather</t>
  </si>
  <si>
    <t>chain</t>
  </si>
  <si>
    <t>plate</t>
  </si>
  <si>
    <t>dice</t>
  </si>
  <si>
    <t>Melee Weapons</t>
  </si>
  <si>
    <t>Row</t>
  </si>
  <si>
    <t>Dx</t>
  </si>
  <si>
    <t>Mean</t>
  </si>
  <si>
    <t>Vs</t>
  </si>
  <si>
    <t>A+</t>
  </si>
  <si>
    <t>P+</t>
  </si>
  <si>
    <t>offset</t>
  </si>
  <si>
    <t>bonus</t>
  </si>
  <si>
    <t>Weight</t>
  </si>
  <si>
    <t>DAM</t>
  </si>
  <si>
    <t>Plate</t>
  </si>
  <si>
    <t>Broad Sword</t>
  </si>
  <si>
    <t>Dagger</t>
  </si>
  <si>
    <t>Taper Axe</t>
  </si>
  <si>
    <t>Hand to Hand</t>
  </si>
  <si>
    <t>Hand</t>
  </si>
  <si>
    <t>Ranged Weapons</t>
  </si>
  <si>
    <t>Eff.Range</t>
  </si>
  <si>
    <t>Load</t>
  </si>
  <si>
    <t>(feet)</t>
  </si>
  <si>
    <t>Heavy Crossbow</t>
  </si>
  <si>
    <t>Thrown Weapons</t>
  </si>
  <si>
    <t>Throwing Knife</t>
  </si>
  <si>
    <t>Taper Axe thrown</t>
  </si>
  <si>
    <t>Area</t>
  </si>
  <si>
    <t>Hit Loc</t>
  </si>
  <si>
    <t>Armour</t>
  </si>
  <si>
    <t>ADS+</t>
  </si>
  <si>
    <t>Steel w. visor down</t>
  </si>
  <si>
    <t>Arm (Shield)</t>
  </si>
  <si>
    <t>Leather</t>
  </si>
  <si>
    <t>Arm (Weapon)</t>
  </si>
  <si>
    <t>Platemail</t>
  </si>
  <si>
    <t>Leg (L)</t>
  </si>
  <si>
    <t>Leg (R)</t>
  </si>
  <si>
    <t>Total weight</t>
  </si>
  <si>
    <t>Clerical Abilities:</t>
  </si>
  <si>
    <t>ClL:</t>
  </si>
  <si>
    <t>B*ClL:</t>
  </si>
  <si>
    <t>God:</t>
  </si>
  <si>
    <t>B%:</t>
  </si>
  <si>
    <t>CWA:</t>
  </si>
  <si>
    <t>Cr/Dr:</t>
  </si>
  <si>
    <t>(renewed 01.00)</t>
  </si>
  <si>
    <t>Level:</t>
  </si>
  <si>
    <t>Spell:</t>
  </si>
  <si>
    <t>Known?</t>
  </si>
  <si>
    <t>n</t>
  </si>
  <si>
    <t>Counterspell</t>
  </si>
  <si>
    <t>Word Counterspell</t>
  </si>
  <si>
    <t>1-4</t>
  </si>
  <si>
    <t>Detect Alignment</t>
  </si>
  <si>
    <t>&gt;=1</t>
  </si>
  <si>
    <t>Dispel Undead</t>
  </si>
  <si>
    <t>Locate Undead</t>
  </si>
  <si>
    <t>Quickheal</t>
  </si>
  <si>
    <t>&gt;=2/4/7</t>
  </si>
  <si>
    <t>Cause Light / Serious / Multiple Wounds</t>
  </si>
  <si>
    <t>Detect Magic</t>
  </si>
  <si>
    <t>Nightsight</t>
  </si>
  <si>
    <t>Prot vs Undead</t>
  </si>
  <si>
    <t>Purify/Contaminate Food &amp; Water</t>
  </si>
  <si>
    <t xml:space="preserve"> 2/4/6</t>
  </si>
  <si>
    <t>Shield of Neutrality (vs 1/2/3 Alignments)</t>
  </si>
  <si>
    <t>Stop Bleeding</t>
  </si>
  <si>
    <t xml:space="preserve"> 3/6</t>
  </si>
  <si>
    <t>Cure Light / Serious Wounds</t>
  </si>
  <si>
    <t>Increase Bleeding</t>
  </si>
  <si>
    <t>Infravision</t>
  </si>
  <si>
    <t>3/6</t>
  </si>
  <si>
    <t>Radiation/Cont. Rad.</t>
  </si>
  <si>
    <t>Bless</t>
  </si>
  <si>
    <t>Detect Poison</t>
  </si>
  <si>
    <t>Hold Animal</t>
  </si>
  <si>
    <t>Set Bones</t>
  </si>
  <si>
    <t>Silence</t>
  </si>
  <si>
    <t>Wall of Darkness</t>
  </si>
  <si>
    <t>Anaesthesia</t>
  </si>
  <si>
    <t>Communicate</t>
  </si>
  <si>
    <t>Drain Life</t>
  </si>
  <si>
    <t>Find Traps</t>
  </si>
  <si>
    <t>Hold Person</t>
  </si>
  <si>
    <t>Cause Disease</t>
  </si>
  <si>
    <t>Cure Disease</t>
  </si>
  <si>
    <t>Detect Lies</t>
  </si>
  <si>
    <t>Lie</t>
  </si>
  <si>
    <t>Locate Object</t>
  </si>
  <si>
    <t>Prayer</t>
  </si>
  <si>
    <t>Remove Curse</t>
  </si>
  <si>
    <t>Awe</t>
  </si>
  <si>
    <t>Detect Possession</t>
  </si>
  <si>
    <t>Neutralise Poison</t>
  </si>
  <si>
    <t>Create Water</t>
  </si>
  <si>
    <t>Cure Madness</t>
  </si>
  <si>
    <t>Destroy Weapons</t>
  </si>
  <si>
    <t>Regrow Limb</t>
  </si>
  <si>
    <t>Speak with Trees &amp; Plants</t>
  </si>
  <si>
    <t>Commune</t>
  </si>
  <si>
    <t>Create Air</t>
  </si>
  <si>
    <t>Create Weapons</t>
  </si>
  <si>
    <t>Dispel [Alignment]</t>
  </si>
  <si>
    <t>Insect Plague</t>
  </si>
  <si>
    <t>Quest</t>
  </si>
  <si>
    <t>Speak with Dead</t>
  </si>
  <si>
    <t>Truesight</t>
  </si>
  <si>
    <t>Contact</t>
  </si>
  <si>
    <t>Create Food</t>
  </si>
  <si>
    <t>Cure Blindness / Deafness</t>
  </si>
  <si>
    <t>Finger of Death / The Palm That Stuns</t>
  </si>
  <si>
    <t>Heal</t>
  </si>
  <si>
    <t>Hold Monster</t>
  </si>
  <si>
    <t>Animate Objects</t>
  </si>
  <si>
    <t>Blade Barrier</t>
  </si>
  <si>
    <t>Find the Path</t>
  </si>
  <si>
    <t>Ageing, Rejuvenation</t>
  </si>
  <si>
    <t>Conjure Animals</t>
  </si>
  <si>
    <t>Word of Recall</t>
  </si>
  <si>
    <t>Control Weather</t>
  </si>
  <si>
    <t>Exorcise</t>
  </si>
  <si>
    <t>Flesh-Stone</t>
  </si>
  <si>
    <t>Part Water</t>
  </si>
  <si>
    <t>Aerial Servant</t>
  </si>
  <si>
    <t>Wind Walk</t>
  </si>
  <si>
    <t>Astral Spell</t>
  </si>
  <si>
    <t>Earthquake</t>
  </si>
  <si>
    <t>Symbol</t>
  </si>
  <si>
    <t>Holy Word</t>
  </si>
  <si>
    <t>Restoration</t>
  </si>
  <si>
    <t>Consecrate Object</t>
  </si>
  <si>
    <t>Consecrate Place</t>
  </si>
  <si>
    <t>Sum CSLs:</t>
  </si>
  <si>
    <t>SLLs:</t>
  </si>
  <si>
    <t>Cycle</t>
  </si>
  <si>
    <t>Sered</t>
  </si>
  <si>
    <t>Privet</t>
  </si>
  <si>
    <t>Mid-spring</t>
  </si>
  <si>
    <t>Yribt</t>
  </si>
  <si>
    <t>Holly</t>
  </si>
  <si>
    <t>Midwinter</t>
  </si>
  <si>
    <t>Ranian</t>
  </si>
  <si>
    <t>Ivy</t>
  </si>
  <si>
    <t>Mid-autumn</t>
  </si>
  <si>
    <t>Druid</t>
  </si>
  <si>
    <t>Midsummer</t>
  </si>
  <si>
    <t>Druidic Abilities:</t>
  </si>
  <si>
    <t>DrL:</t>
  </si>
  <si>
    <t>IsC:</t>
  </si>
  <si>
    <t>Usual max Is:</t>
  </si>
  <si>
    <t>Usual Circs Mod:</t>
  </si>
  <si>
    <t xml:space="preserve">Base +: </t>
  </si>
  <si>
    <t>Nt:</t>
  </si>
  <si>
    <t>Dx(M)/2:</t>
  </si>
  <si>
    <t>OSLs:</t>
  </si>
  <si>
    <t>Total:</t>
  </si>
  <si>
    <t xml:space="preserve"> - Spell Level</t>
  </si>
  <si>
    <t>Level</t>
  </si>
  <si>
    <t>Spell</t>
  </si>
  <si>
    <t>Any</t>
  </si>
  <si>
    <t>D</t>
  </si>
  <si>
    <t>Extendable Counterspell</t>
  </si>
  <si>
    <t>Detect Vegetables</t>
  </si>
  <si>
    <t>S</t>
  </si>
  <si>
    <t>Identify Vegetables</t>
  </si>
  <si>
    <t>Locate Druidic Media</t>
  </si>
  <si>
    <t>Pass through Overgrowth</t>
  </si>
  <si>
    <t>Detect Animals</t>
  </si>
  <si>
    <t>Y</t>
  </si>
  <si>
    <t>Identify Animals</t>
  </si>
  <si>
    <t>Faerie Fire</t>
  </si>
  <si>
    <t>R</t>
  </si>
  <si>
    <t>Identify Pure Water</t>
  </si>
  <si>
    <t>Predict Weather</t>
  </si>
  <si>
    <t>Detect Poisoning</t>
  </si>
  <si>
    <t>Detect Snares &amp; Pits</t>
  </si>
  <si>
    <t>Locate Vegetables</t>
  </si>
  <si>
    <t>Speak with Vegetables</t>
  </si>
  <si>
    <t>Hold Portal</t>
  </si>
  <si>
    <t>Warp Wood</t>
  </si>
  <si>
    <t>Locate Animals</t>
  </si>
  <si>
    <t>Speak with Animals</t>
  </si>
  <si>
    <t>Heat Metal</t>
  </si>
  <si>
    <t>Obscurement</t>
  </si>
  <si>
    <t>Produce Flame</t>
  </si>
  <si>
    <t>Purify Water</t>
  </si>
  <si>
    <t>Hold Vegetable</t>
  </si>
  <si>
    <t>Vegetable Growth</t>
  </si>
  <si>
    <t>Knock</t>
  </si>
  <si>
    <t>Call Lightning</t>
  </si>
  <si>
    <t>Prot. vs. Fire</t>
  </si>
  <si>
    <t>Water Breathing</t>
  </si>
  <si>
    <t>Witch Wind</t>
  </si>
  <si>
    <t>Follow Tracks</t>
  </si>
  <si>
    <t>Heal Wounds</t>
  </si>
  <si>
    <t>Locate Natural Place</t>
  </si>
  <si>
    <t>Sered Command</t>
  </si>
  <si>
    <t>Anti-Vegetable Shell</t>
  </si>
  <si>
    <t>Summon Bird</t>
  </si>
  <si>
    <t>Summon Reptile</t>
  </si>
  <si>
    <t>Summon Mammal</t>
  </si>
  <si>
    <t>Control Temperature</t>
  </si>
  <si>
    <t>Extinguish</t>
  </si>
  <si>
    <t>Pass Fire</t>
  </si>
  <si>
    <t>Plant Door</t>
  </si>
  <si>
    <t>Produce Fire</t>
  </si>
  <si>
    <t>Prot. vs. Lightning</t>
  </si>
  <si>
    <t>Talk via Plants</t>
  </si>
  <si>
    <t>Dispel Magic</t>
  </si>
  <si>
    <t>Animal Growth</t>
  </si>
  <si>
    <t>Control Winds</t>
  </si>
  <si>
    <t>Hallucinatory Forest</t>
  </si>
  <si>
    <t>Pass Plant</t>
  </si>
  <si>
    <t>See through Animals' Eyes</t>
  </si>
  <si>
    <t>Transmute Rock to Mud</t>
  </si>
  <si>
    <t>Wall of Fire</t>
  </si>
  <si>
    <t>Sticks to Snakes</t>
  </si>
  <si>
    <t>Yribt Command</t>
  </si>
  <si>
    <t>Turn Wood</t>
  </si>
  <si>
    <t>Anti-Animal Shell</t>
  </si>
  <si>
    <t>Summon Fire Elemental</t>
  </si>
  <si>
    <t>Transport via Plants</t>
  </si>
  <si>
    <t>Weather Summoning</t>
  </si>
  <si>
    <t>Feeblemind</t>
  </si>
  <si>
    <t>Regrowth</t>
  </si>
  <si>
    <t>Shapechange to Animal</t>
  </si>
  <si>
    <t>Druidic Shapechange</t>
  </si>
  <si>
    <t>Power</t>
  </si>
  <si>
    <t>Fire Storm</t>
  </si>
  <si>
    <t>Natural Portal</t>
  </si>
  <si>
    <t>Summon Earth Elemental</t>
  </si>
  <si>
    <t>Animate Rock</t>
  </si>
  <si>
    <t>Confusion</t>
  </si>
  <si>
    <t>Hide in Plant</t>
  </si>
  <si>
    <t>Shapechange to Vegetable</t>
  </si>
  <si>
    <t>Transmute Metal to Wood</t>
  </si>
  <si>
    <t>Walking Wood</t>
  </si>
  <si>
    <t>Ranian Command</t>
  </si>
  <si>
    <t>Summon Air Elemental</t>
  </si>
  <si>
    <t>Summon Water Elemental</t>
  </si>
  <si>
    <t>Anti-Magic Shell</t>
  </si>
  <si>
    <t>Natural Gateway</t>
  </si>
  <si>
    <t>Druid Command</t>
  </si>
  <si>
    <t>Naturalise Place</t>
  </si>
  <si>
    <t>Total SLLs:</t>
  </si>
  <si>
    <t>Total Learnt</t>
  </si>
  <si>
    <t>Elementalist Experience Pluses</t>
  </si>
  <si>
    <t>Elementalist Abilities:</t>
  </si>
  <si>
    <t>ElL:</t>
  </si>
  <si>
    <t>Exp. Plus</t>
  </si>
  <si>
    <t>Plus on Spells</t>
  </si>
  <si>
    <t>ENC:</t>
  </si>
  <si>
    <t>ILL:</t>
  </si>
  <si>
    <t>Sg:</t>
  </si>
  <si>
    <t>In:</t>
  </si>
  <si>
    <t>CHM:</t>
  </si>
  <si>
    <t>Hr:</t>
  </si>
  <si>
    <t>Dx(M):</t>
  </si>
  <si>
    <t>Tc:</t>
  </si>
  <si>
    <t>USL:</t>
  </si>
  <si>
    <t>Tp:</t>
  </si>
  <si>
    <t>Sm:</t>
  </si>
  <si>
    <t>Ts:</t>
  </si>
  <si>
    <t>Total +:</t>
  </si>
  <si>
    <t>Lvl*Exp</t>
  </si>
  <si>
    <t>ENC</t>
  </si>
  <si>
    <t>Sleep</t>
  </si>
  <si>
    <t>Dodge</t>
  </si>
  <si>
    <t>Paralise</t>
  </si>
  <si>
    <t>Body Armour</t>
  </si>
  <si>
    <t>Word of Stun</t>
  </si>
  <si>
    <t>CHM</t>
  </si>
  <si>
    <t>Charm Person</t>
  </si>
  <si>
    <t>FIRE</t>
  </si>
  <si>
    <t>Magic Missile</t>
  </si>
  <si>
    <t>PLN</t>
  </si>
  <si>
    <t>Teleport</t>
  </si>
  <si>
    <t xml:space="preserve">Total Lvl*Exp+s </t>
  </si>
  <si>
    <t>from ElL</t>
  </si>
  <si>
    <t>from above</t>
  </si>
  <si>
    <t>Disciplines</t>
  </si>
  <si>
    <t>EARTH</t>
  </si>
  <si>
    <t>AIR</t>
  </si>
  <si>
    <t>WATER</t>
  </si>
  <si>
    <t>GV</t>
  </si>
  <si>
    <t>ILL</t>
  </si>
  <si>
    <t>GEN</t>
  </si>
  <si>
    <t>Magical Powers:</t>
  </si>
  <si>
    <t>Delegated by SARAN on becoming one of Her Paladins:</t>
  </si>
  <si>
    <t>Lay on Hands</t>
  </si>
  <si>
    <t>HP/Cd</t>
  </si>
  <si>
    <t xml:space="preserve"> @ 1HP/sec</t>
  </si>
  <si>
    <t>and/or Cure Disease @ 1 Disease Level instead of 4HP Healed</t>
  </si>
  <si>
    <t>Immunity to Disease</t>
  </si>
  <si>
    <t>Saving Level + (SP allocated)</t>
  </si>
  <si>
    <t>allocate</t>
  </si>
  <si>
    <t>SP max</t>
  </si>
  <si>
    <t>Detect Chaos</t>
  </si>
  <si>
    <t xml:space="preserve"> @ T =</t>
  </si>
  <si>
    <t>Dispel Chaos</t>
  </si>
  <si>
    <t>Shapechange to Animals</t>
  </si>
  <si>
    <t>Delegated by Nature Spirit on attaining DrL6</t>
  </si>
  <si>
    <t>Shapechange once each per Cd to a mammal, reptile &amp; bird of Sz 1-20</t>
  </si>
  <si>
    <t>Heal (10*d6)% damage on each change</t>
  </si>
  <si>
    <t>If &lt; 25IP chance of success = (4*IP)%</t>
  </si>
  <si>
    <t>Possessions:</t>
  </si>
  <si>
    <t>On person:</t>
  </si>
  <si>
    <t>Encumbrance:</t>
  </si>
  <si>
    <t>Clothing</t>
  </si>
  <si>
    <t>Cloak</t>
  </si>
  <si>
    <t>Other</t>
  </si>
  <si>
    <t>Specify</t>
  </si>
  <si>
    <t>Holy Symbol</t>
  </si>
  <si>
    <t>Covering</t>
  </si>
  <si>
    <t>buckler</t>
  </si>
  <si>
    <t>Weapons</t>
  </si>
  <si>
    <t>Qty carried</t>
  </si>
  <si>
    <t>A+:</t>
  </si>
  <si>
    <t>DAM+:</t>
  </si>
  <si>
    <t>vs Arm+:</t>
  </si>
  <si>
    <t>Quiver:</t>
  </si>
  <si>
    <t>arrows</t>
  </si>
  <si>
    <t>silver arrows</t>
  </si>
  <si>
    <t>weight for extra arrows</t>
  </si>
  <si>
    <t>Flash Pellets</t>
  </si>
  <si>
    <t>Tanglefoot Pills</t>
  </si>
  <si>
    <t>Stink bombs</t>
  </si>
  <si>
    <t>Druidic Media attached to belt</t>
  </si>
  <si>
    <t>no</t>
  </si>
  <si>
    <t>type</t>
  </si>
  <si>
    <t>harvested</t>
  </si>
  <si>
    <t>present bonus</t>
  </si>
  <si>
    <t>privet</t>
  </si>
  <si>
    <t>20 VI</t>
  </si>
  <si>
    <t>mistletoe</t>
  </si>
  <si>
    <t>26 VII</t>
  </si>
  <si>
    <t>holly</t>
  </si>
  <si>
    <t>ivy</t>
  </si>
  <si>
    <t>19 VIII</t>
  </si>
  <si>
    <t>Backpack:</t>
  </si>
  <si>
    <t>Potions:</t>
  </si>
  <si>
    <t>Healing</t>
  </si>
  <si>
    <t>Regeneration</t>
  </si>
  <si>
    <t>Oils:</t>
  </si>
  <si>
    <t>Burning</t>
  </si>
  <si>
    <t>Etherealness</t>
  </si>
  <si>
    <t>Poisons/:</t>
  </si>
  <si>
    <t>Poison 10</t>
  </si>
  <si>
    <t>Acids</t>
  </si>
  <si>
    <t>Acid 8</t>
  </si>
  <si>
    <t>Venoms/ :</t>
  </si>
  <si>
    <t>No.10 BV</t>
  </si>
  <si>
    <t>Antidotes</t>
  </si>
  <si>
    <t>No.10 Ant</t>
  </si>
  <si>
    <t>Paralysis Ant</t>
  </si>
  <si>
    <t>Bombs:</t>
  </si>
  <si>
    <t>Fire No</t>
  </si>
  <si>
    <t>Rope(ft):</t>
  </si>
  <si>
    <t>silk</t>
  </si>
  <si>
    <t>Rations:</t>
  </si>
  <si>
    <t>days</t>
  </si>
  <si>
    <t>Lockpicks, etc.</t>
  </si>
  <si>
    <t>Tinder box</t>
  </si>
  <si>
    <t xml:space="preserve">Map-making equipment </t>
  </si>
  <si>
    <t>Other (specify)</t>
  </si>
  <si>
    <t>capacity</t>
  </si>
  <si>
    <t>Water skin:</t>
  </si>
  <si>
    <t>fl oz</t>
  </si>
  <si>
    <t>water</t>
  </si>
  <si>
    <t>pints</t>
  </si>
  <si>
    <t>Cash:</t>
  </si>
  <si>
    <t>CP</t>
  </si>
  <si>
    <t>GP</t>
  </si>
  <si>
    <t>PP</t>
  </si>
  <si>
    <t>MP</t>
  </si>
  <si>
    <t>Carrying capacity:</t>
  </si>
  <si>
    <t>Shield types</t>
  </si>
  <si>
    <t>ADS</t>
  </si>
  <si>
    <t>no shield</t>
  </si>
  <si>
    <t>standard shield</t>
  </si>
  <si>
    <t>tilt shield</t>
  </si>
  <si>
    <t>Rope types</t>
  </si>
  <si>
    <t>Length</t>
  </si>
  <si>
    <t>hemp</t>
  </si>
  <si>
    <t>Elven</t>
  </si>
  <si>
    <t>spider-silk</t>
  </si>
  <si>
    <t>Fighter Weapons Table   4th Ed.</t>
  </si>
  <si>
    <t>StN</t>
  </si>
  <si>
    <t>DxN</t>
  </si>
  <si>
    <t>PE</t>
  </si>
  <si>
    <t>Reach_min</t>
  </si>
  <si>
    <t>Reach_max</t>
  </si>
  <si>
    <t>Class</t>
  </si>
  <si>
    <t>weight</t>
  </si>
  <si>
    <t>Av DAM</t>
  </si>
  <si>
    <t>(b = with</t>
  </si>
  <si>
    <t>buckler)</t>
  </si>
  <si>
    <t>Daggers</t>
  </si>
  <si>
    <t>1/H + b</t>
  </si>
  <si>
    <t>d4</t>
  </si>
  <si>
    <t>Stiletto</t>
  </si>
  <si>
    <t>1/H</t>
  </si>
  <si>
    <t>d6/2</t>
  </si>
  <si>
    <t>Swords</t>
  </si>
  <si>
    <t>Short Sword</t>
  </si>
  <si>
    <t>2d4</t>
  </si>
  <si>
    <t>Curved Swords</t>
  </si>
  <si>
    <t>Scimitar</t>
  </si>
  <si>
    <t>d8</t>
  </si>
  <si>
    <t>Tulwar</t>
  </si>
  <si>
    <t>d6+d4</t>
  </si>
  <si>
    <t>Bastard Sword</t>
  </si>
  <si>
    <t>2/H</t>
  </si>
  <si>
    <t>2d8</t>
  </si>
  <si>
    <t>Great Sword</t>
  </si>
  <si>
    <t>3d8</t>
  </si>
  <si>
    <t>Super Heavy Sword</t>
  </si>
  <si>
    <t>3/H</t>
  </si>
  <si>
    <t>4d8</t>
  </si>
  <si>
    <t>Axes</t>
  </si>
  <si>
    <t>Hand Axe</t>
  </si>
  <si>
    <t>d4+1</t>
  </si>
  <si>
    <t>2d4+1</t>
  </si>
  <si>
    <t>Broad Axe</t>
  </si>
  <si>
    <t>2d6+1</t>
  </si>
  <si>
    <t>Great Axe</t>
  </si>
  <si>
    <t>2d8+2</t>
  </si>
  <si>
    <t>Super Heavy Axe</t>
  </si>
  <si>
    <t>2d10+2</t>
  </si>
  <si>
    <t>Hammers</t>
  </si>
  <si>
    <t>Light Hammer</t>
  </si>
  <si>
    <t>d6</t>
  </si>
  <si>
    <t>Heavy Hammer</t>
  </si>
  <si>
    <t>War Hammer</t>
  </si>
  <si>
    <t>2d6</t>
  </si>
  <si>
    <t>Super Heavy Hammer</t>
  </si>
  <si>
    <t>3d6</t>
  </si>
  <si>
    <t>Maces</t>
  </si>
  <si>
    <t>Light Mace</t>
  </si>
  <si>
    <t>Light Spiked Mace</t>
  </si>
  <si>
    <t>d6+1</t>
  </si>
  <si>
    <t>Heavy Mace</t>
  </si>
  <si>
    <t>Heavy Spiked Mace</t>
  </si>
  <si>
    <t>2d4+2</t>
  </si>
  <si>
    <t>Big F***g Club</t>
  </si>
  <si>
    <t>Super Heavy Spiked Mace</t>
  </si>
  <si>
    <t>3d4+3</t>
  </si>
  <si>
    <t>Picks</t>
  </si>
  <si>
    <t>Military Pick</t>
  </si>
  <si>
    <t>Pick That Up</t>
  </si>
  <si>
    <t>d12</t>
  </si>
  <si>
    <t>Whips</t>
  </si>
  <si>
    <t>Whip</t>
  </si>
  <si>
    <t>Barbed Whip</t>
  </si>
  <si>
    <t>Elephant Whip</t>
  </si>
  <si>
    <t>3d4</t>
  </si>
  <si>
    <t>Super Heavy Barbed Whip</t>
  </si>
  <si>
    <t>Flails</t>
  </si>
  <si>
    <t>Nunchucks</t>
  </si>
  <si>
    <t>Flail</t>
  </si>
  <si>
    <t>Morningstar</t>
  </si>
  <si>
    <t>Spiked Morningstar</t>
  </si>
  <si>
    <t>d8+2</t>
  </si>
  <si>
    <t>Bl**dy Great Morningstar</t>
  </si>
  <si>
    <t>2d8+4</t>
  </si>
  <si>
    <t>Staves</t>
  </si>
  <si>
    <t>Quarterstaff</t>
  </si>
  <si>
    <t>Spears</t>
  </si>
  <si>
    <t>Assegai</t>
  </si>
  <si>
    <t>Short Spear / Javelin</t>
  </si>
  <si>
    <t>Spear set</t>
  </si>
  <si>
    <t>d6+d8</t>
  </si>
  <si>
    <t>Spear thrust</t>
  </si>
  <si>
    <t>Spear charge</t>
  </si>
  <si>
    <t>Trident</t>
  </si>
  <si>
    <t>Super Heavy Trident</t>
  </si>
  <si>
    <t>Lance / Pike set</t>
  </si>
  <si>
    <t>2d8+1</t>
  </si>
  <si>
    <t>Lance / Pike thrust</t>
  </si>
  <si>
    <t>Lance / Pike charge</t>
  </si>
  <si>
    <t>Sharpened Tree Trunk thrust / whacked</t>
  </si>
  <si>
    <t>Sharpened Tree Trunk charge</t>
  </si>
  <si>
    <t>Polearms</t>
  </si>
  <si>
    <t>Halberd</t>
  </si>
  <si>
    <t>Polearm</t>
  </si>
  <si>
    <t>Dirty Great Polearm</t>
  </si>
  <si>
    <t>2d12</t>
  </si>
  <si>
    <t>d4/2</t>
  </si>
  <si>
    <t>Foot</t>
  </si>
  <si>
    <t>IA</t>
  </si>
  <si>
    <t>Bows</t>
  </si>
  <si>
    <t>Short Bow</t>
  </si>
  <si>
    <t>Horse Bow</t>
  </si>
  <si>
    <t>Longbows</t>
  </si>
  <si>
    <t>Longbow</t>
  </si>
  <si>
    <t>d8+1</t>
  </si>
  <si>
    <t>Elven Bow</t>
  </si>
  <si>
    <t>Composite Bow</t>
  </si>
  <si>
    <t>Crossbows</t>
  </si>
  <si>
    <t>Light Crossbow</t>
  </si>
  <si>
    <t>Harpoon Crossbow</t>
  </si>
  <si>
    <t>Slings</t>
  </si>
  <si>
    <t>Sling</t>
  </si>
  <si>
    <t>Staff Sling</t>
  </si>
  <si>
    <t>Light Hammer thrown</t>
  </si>
  <si>
    <t>Heavy Hammer thrown</t>
  </si>
  <si>
    <t>Assegai thrown</t>
  </si>
  <si>
    <t>Javelin thrown</t>
  </si>
  <si>
    <t>Spear thrown</t>
  </si>
  <si>
    <t>Harpoons</t>
  </si>
  <si>
    <t>Harpoon thrown</t>
  </si>
  <si>
    <t>Nets</t>
  </si>
  <si>
    <t>Net</t>
  </si>
  <si>
    <t>Lassoos</t>
  </si>
  <si>
    <t>Lassoo</t>
  </si>
  <si>
    <t>Bolas</t>
  </si>
  <si>
    <t>3(d4-2)</t>
  </si>
  <si>
    <t>Misc. Objects thrown</t>
  </si>
  <si>
    <t>1-n/2</t>
  </si>
  <si>
    <t>Unarmed Activities</t>
  </si>
  <si>
    <t>min WS</t>
  </si>
  <si>
    <t>Unarmed</t>
  </si>
  <si>
    <t>Punch</t>
  </si>
  <si>
    <t>Kick</t>
  </si>
  <si>
    <t>Head butt</t>
  </si>
  <si>
    <t>d8/2</t>
  </si>
  <si>
    <t>Bite</t>
  </si>
  <si>
    <t>Claw/Gouge</t>
  </si>
  <si>
    <t>Chop with Hand</t>
  </si>
  <si>
    <t>Jump Kick</t>
  </si>
  <si>
    <t>Parry with Hand</t>
  </si>
  <si>
    <t>Acrobatic Dodging Parry</t>
  </si>
  <si>
    <t>Dodging Missile Parry</t>
  </si>
  <si>
    <t>Grapple/break free</t>
  </si>
  <si>
    <t>Throw</t>
  </si>
  <si>
    <t>Strangle</t>
  </si>
  <si>
    <t>Somersault</t>
  </si>
  <si>
    <t>Bounce off Walls</t>
  </si>
  <si>
    <t>Size</t>
  </si>
  <si>
    <t>Sizes &gt;23</t>
  </si>
  <si>
    <t>Head</t>
  </si>
  <si>
    <t>No physical body</t>
  </si>
  <si>
    <t>01 to 01</t>
  </si>
  <si>
    <t>01 to 03</t>
  </si>
  <si>
    <t>01 to 04</t>
  </si>
  <si>
    <t>01 to 06</t>
  </si>
  <si>
    <t>01 to 07</t>
  </si>
  <si>
    <t>01 to 08</t>
  </si>
  <si>
    <t>01 to 09</t>
  </si>
  <si>
    <t>01 to 10</t>
  </si>
  <si>
    <t>01 to 11</t>
  </si>
  <si>
    <t>01 to 12</t>
  </si>
  <si>
    <t>01 to 13</t>
  </si>
  <si>
    <t>01 to 14</t>
  </si>
  <si>
    <t>01 to 15</t>
  </si>
  <si>
    <t>01 to 16</t>
  </si>
  <si>
    <t>10% of H</t>
  </si>
  <si>
    <t>Arms (*2)</t>
  </si>
  <si>
    <t>Cannot be hit.</t>
  </si>
  <si>
    <t>02 to 04</t>
  </si>
  <si>
    <t>04 to 09</t>
  </si>
  <si>
    <t>05 to 13</t>
  </si>
  <si>
    <t>07 to 18</t>
  </si>
  <si>
    <t>08 to 22</t>
  </si>
  <si>
    <t>09 to 24</t>
  </si>
  <si>
    <t>09 to 25</t>
  </si>
  <si>
    <t>10 to 27</t>
  </si>
  <si>
    <t>10 to 28</t>
  </si>
  <si>
    <t>11 to 30</t>
  </si>
  <si>
    <t>11 to 31</t>
  </si>
  <si>
    <t>12 to 33</t>
  </si>
  <si>
    <t>12 to 34</t>
  </si>
  <si>
    <t>13 to 36</t>
  </si>
  <si>
    <t>13 to 37</t>
  </si>
  <si>
    <t>14 to 39</t>
  </si>
  <si>
    <t>14 to 40</t>
  </si>
  <si>
    <t>15 to 42</t>
  </si>
  <si>
    <t>15 to 43</t>
  </si>
  <si>
    <t>16 to 45</t>
  </si>
  <si>
    <t>16 to 46</t>
  </si>
  <si>
    <t>17 to 48</t>
  </si>
  <si>
    <t>17 to 50</t>
  </si>
  <si>
    <t>30% of H</t>
  </si>
  <si>
    <t>Chest</t>
  </si>
  <si>
    <t>05 to 09</t>
  </si>
  <si>
    <t>10 to 18</t>
  </si>
  <si>
    <t>14 to 27</t>
  </si>
  <si>
    <t>19 to 36</t>
  </si>
  <si>
    <t>23 to 45</t>
  </si>
  <si>
    <t>25 to 48</t>
  </si>
  <si>
    <t>26 to 51</t>
  </si>
  <si>
    <t>28 to 54</t>
  </si>
  <si>
    <t>29 to 57</t>
  </si>
  <si>
    <t>31 to 60</t>
  </si>
  <si>
    <t>32 to 63</t>
  </si>
  <si>
    <t>34 to 66</t>
  </si>
  <si>
    <t>35 to 69</t>
  </si>
  <si>
    <t>37 to 72</t>
  </si>
  <si>
    <t>38 to 75</t>
  </si>
  <si>
    <t>40 to 78</t>
  </si>
  <si>
    <t>41 to 81</t>
  </si>
  <si>
    <t>43 to 84</t>
  </si>
  <si>
    <t>44 to 87</t>
  </si>
  <si>
    <t>46 to 90</t>
  </si>
  <si>
    <t>47 to 93</t>
  </si>
  <si>
    <t>49 to 96</t>
  </si>
  <si>
    <t>51 to 99</t>
  </si>
  <si>
    <t>60% of H</t>
  </si>
  <si>
    <t>Abdomen</t>
  </si>
  <si>
    <t>10 to 12</t>
  </si>
  <si>
    <t>19 to 24</t>
  </si>
  <si>
    <t>28 to 36</t>
  </si>
  <si>
    <t>37 to 48</t>
  </si>
  <si>
    <t>46 to 60</t>
  </si>
  <si>
    <t>49 to 64</t>
  </si>
  <si>
    <t>52 to 68</t>
  </si>
  <si>
    <t>55 to 72</t>
  </si>
  <si>
    <t>58 to 76</t>
  </si>
  <si>
    <t>61 to 80</t>
  </si>
  <si>
    <t>64 to 84</t>
  </si>
  <si>
    <t>67 to 88</t>
  </si>
  <si>
    <t>70 to 92</t>
  </si>
  <si>
    <t>73 to 96</t>
  </si>
  <si>
    <t>76 to 100</t>
  </si>
  <si>
    <t>79 to 104</t>
  </si>
  <si>
    <t>82 to 108</t>
  </si>
  <si>
    <t>85 to 112</t>
  </si>
  <si>
    <t>88 to 116</t>
  </si>
  <si>
    <t>91 to 120</t>
  </si>
  <si>
    <t>94 to 124</t>
  </si>
  <si>
    <t>97 to 128</t>
  </si>
  <si>
    <t>100 to 132</t>
  </si>
  <si>
    <t>80% of H</t>
  </si>
  <si>
    <t>Legs (*2)</t>
  </si>
  <si>
    <t>13 to 15</t>
  </si>
  <si>
    <t>25 to 30</t>
  </si>
  <si>
    <t>37 to 45</t>
  </si>
  <si>
    <t>49 to 60</t>
  </si>
  <si>
    <t>61 to 75</t>
  </si>
  <si>
    <t>65 to 80</t>
  </si>
  <si>
    <t>69 to 85</t>
  </si>
  <si>
    <t>73 to 90</t>
  </si>
  <si>
    <t>77 to 95</t>
  </si>
  <si>
    <t>81 to 100</t>
  </si>
  <si>
    <t>85 to 105</t>
  </si>
  <si>
    <t>89 to 110</t>
  </si>
  <si>
    <t>93 to 115</t>
  </si>
  <si>
    <t>97 to 120</t>
  </si>
  <si>
    <t>101 to 125</t>
  </si>
  <si>
    <t>105 to 130</t>
  </si>
  <si>
    <t>109 to 135</t>
  </si>
  <si>
    <t>113 to 140</t>
  </si>
  <si>
    <t>117 to 145</t>
  </si>
  <si>
    <t>121 to 150</t>
  </si>
  <si>
    <t>125 to 155</t>
  </si>
  <si>
    <t>129 to 160</t>
  </si>
  <si>
    <t>133 to 165</t>
  </si>
  <si>
    <t>Armour Type</t>
  </si>
  <si>
    <t>Final Digit of Hit Location</t>
  </si>
  <si>
    <t>Hit Digits</t>
  </si>
  <si>
    <t>Arm (shield)</t>
  </si>
  <si>
    <t>Arm (weapon)</t>
  </si>
  <si>
    <t>If all same</t>
  </si>
  <si>
    <t>Digits</t>
  </si>
  <si>
    <t>RP - shield arm</t>
  </si>
  <si>
    <t>RP - chest shield-side</t>
  </si>
  <si>
    <t>Breastplate</t>
  </si>
  <si>
    <t>error</t>
  </si>
  <si>
    <t>Bronze breastplate</t>
  </si>
  <si>
    <t>Hardened Platemail (2/H)</t>
  </si>
  <si>
    <t>Hardened Platemail (1/H)</t>
  </si>
  <si>
    <t>Bronze platemail</t>
  </si>
  <si>
    <t>Ringmail</t>
  </si>
  <si>
    <t>Chainmail</t>
  </si>
  <si>
    <t>Scale</t>
  </si>
  <si>
    <t>Quilt</t>
  </si>
  <si>
    <t>None</t>
  </si>
  <si>
    <t>Steel w. slot</t>
  </si>
  <si>
    <t>Steel w. visor up</t>
  </si>
  <si>
    <t>Steel w. nasal</t>
  </si>
  <si>
    <t>Open faced steel helmet</t>
  </si>
  <si>
    <t>Steel 'pot' helmet</t>
  </si>
  <si>
    <t>Bronze w. slot</t>
  </si>
  <si>
    <t>Bronze w. visor down</t>
  </si>
  <si>
    <t>Bronze w. visor up</t>
  </si>
  <si>
    <t>Bronze w. nasal</t>
  </si>
  <si>
    <t>Open faced Bronze helmet</t>
  </si>
  <si>
    <t>Bronze 'pot' helmet</t>
  </si>
  <si>
    <t>Ringmail hood</t>
  </si>
  <si>
    <t>Chainmail hood</t>
  </si>
  <si>
    <t>Leather hood</t>
  </si>
  <si>
    <t>Species Modifiers</t>
  </si>
  <si>
    <t>Thief</t>
  </si>
  <si>
    <t>Fighter</t>
  </si>
  <si>
    <t>Melee / Thrown Weapons</t>
  </si>
  <si>
    <t>Characteristics</t>
  </si>
  <si>
    <t>Choppers</t>
  </si>
  <si>
    <t>Tridents</t>
  </si>
  <si>
    <t>Blowpipes</t>
  </si>
  <si>
    <t>Bolas &amp; Lassoes</t>
  </si>
  <si>
    <t>Hd L/R die</t>
  </si>
  <si>
    <t>Hd die</t>
  </si>
  <si>
    <t>In die</t>
  </si>
  <si>
    <t>St Female</t>
  </si>
  <si>
    <t>Co Female</t>
  </si>
  <si>
    <t>Bt Female</t>
  </si>
  <si>
    <t>Sz Female</t>
  </si>
  <si>
    <t>Human, Norseman</t>
  </si>
  <si>
    <t>Human, Forester</t>
  </si>
  <si>
    <t>Human, Grasslander</t>
  </si>
  <si>
    <t>Human, Desert Nomad</t>
  </si>
  <si>
    <t>Human, Mabula</t>
  </si>
  <si>
    <t>Human, Kayani</t>
  </si>
  <si>
    <t>Human, Ice Man</t>
  </si>
  <si>
    <t>Human, Ky'rb-Ok</t>
  </si>
  <si>
    <t>Sindar</t>
  </si>
  <si>
    <t>Calaquendi</t>
  </si>
  <si>
    <t>Gabilkhazâd</t>
  </si>
  <si>
    <t>Taramkhazâd</t>
  </si>
  <si>
    <t>Gizdîm</t>
  </si>
  <si>
    <t>Gnoll</t>
  </si>
  <si>
    <t>Many stats 2d6; St 3d8</t>
  </si>
  <si>
    <t>Hobbit</t>
  </si>
  <si>
    <t>Hobgoblin</t>
  </si>
  <si>
    <t>In 2d6</t>
  </si>
  <si>
    <t>Goblin</t>
  </si>
  <si>
    <t>In d6+d4</t>
  </si>
  <si>
    <t>Kobold</t>
  </si>
  <si>
    <t>In 2d4</t>
  </si>
  <si>
    <t>Uruk-Hai</t>
  </si>
  <si>
    <t>Actually -1 on Bt</t>
  </si>
  <si>
    <t>Camari</t>
  </si>
  <si>
    <t>Sahuagin</t>
  </si>
  <si>
    <t>Fighter Strength &amp; Dexterity Needed effects</t>
  </si>
  <si>
    <t>St or Dx</t>
  </si>
  <si>
    <t>St or DxN</t>
  </si>
  <si>
    <t>Std</t>
  </si>
  <si>
    <t>MA</t>
  </si>
  <si>
    <t>ML</t>
  </si>
  <si>
    <t>ML+MA</t>
  </si>
  <si>
    <t>Grade</t>
  </si>
  <si>
    <t>Armour Encumbrance</t>
  </si>
  <si>
    <t xml:space="preserve"> Dx(Ph) Penalty:</t>
  </si>
  <si>
    <t>Dx(Ph) Penalty</t>
  </si>
  <si>
    <t>Dx(Ph):</t>
  </si>
  <si>
    <t>ULT Mod</t>
  </si>
  <si>
    <t>%</t>
  </si>
  <si>
    <t>Characteristics Modifiers Table</t>
  </si>
  <si>
    <t>Paladin?</t>
  </si>
  <si>
    <t>Experience at end of:</t>
  </si>
  <si>
    <t>M:</t>
  </si>
  <si>
    <r>
      <t>Current Total HP</t>
    </r>
    <r>
      <rPr>
        <b/>
        <sz val="9"/>
        <rFont val="Times New Roman"/>
        <family val="1"/>
      </rPr>
      <t xml:space="preserve"> &amp; </t>
    </r>
    <r>
      <rPr>
        <b/>
        <sz val="12"/>
        <rFont val="Times New Roman"/>
        <family val="1"/>
      </rPr>
      <t>SP</t>
    </r>
  </si>
  <si>
    <t>Delegated by SHELDA on becoming one of Her Paladins:</t>
  </si>
  <si>
    <t>and/or Neutralise Poison @ 1 Poison Level instead of 2HP Healed</t>
  </si>
  <si>
    <t>up to PL =</t>
  </si>
  <si>
    <t>additional</t>
  </si>
  <si>
    <t>Dispel Hatred</t>
  </si>
  <si>
    <t>Immunity to Poison</t>
  </si>
  <si>
    <t>up to DL =</t>
  </si>
  <si>
    <t>Saving Level vs Hatred +(PlL/2)</t>
  </si>
  <si>
    <t>1 (Leather)</t>
  </si>
  <si>
    <r>
      <t>Total Encumbrance</t>
    </r>
    <r>
      <rPr>
        <b/>
        <sz val="12"/>
        <rFont val="Times New Roman"/>
        <family val="1"/>
      </rPr>
      <t xml:space="preserve"> DL:</t>
    </r>
  </si>
  <si>
    <t>Total Encumbrance:</t>
  </si>
  <si>
    <t>Additional Druidic Media</t>
  </si>
  <si>
    <t>20 XII</t>
  </si>
  <si>
    <t>25 XIV</t>
  </si>
  <si>
    <t>12 XI</t>
  </si>
  <si>
    <t>KOROS</t>
  </si>
  <si>
    <t>26 XIV 2505</t>
  </si>
  <si>
    <t>Cult:</t>
  </si>
  <si>
    <t>Sub-Cult:</t>
  </si>
  <si>
    <t>Forest:</t>
  </si>
  <si>
    <t>Totem:</t>
  </si>
  <si>
    <t>Cults</t>
  </si>
  <si>
    <t>Sub-Cults</t>
  </si>
  <si>
    <t>Forests</t>
  </si>
  <si>
    <t>Totems</t>
  </si>
  <si>
    <t>Tree People</t>
  </si>
  <si>
    <t>Tree Peoples</t>
  </si>
  <si>
    <t>Aldalië</t>
  </si>
  <si>
    <t>Galadhwaith</t>
  </si>
  <si>
    <t>Servants of the Trees</t>
  </si>
  <si>
    <t>Guardians of the Hidden Grove</t>
  </si>
  <si>
    <t>Tree Shamen</t>
  </si>
  <si>
    <t>Beastmasters</t>
  </si>
  <si>
    <t>of the Jungle</t>
  </si>
  <si>
    <t>of Kargen</t>
  </si>
  <si>
    <t>Mist Warriors</t>
  </si>
  <si>
    <t>Bird Cults</t>
  </si>
  <si>
    <t>Boar Cults</t>
  </si>
  <si>
    <t>Cat Cults</t>
  </si>
  <si>
    <t>Bat Cults</t>
  </si>
  <si>
    <t>Bear Cults</t>
  </si>
  <si>
    <t>Elephant Cults</t>
  </si>
  <si>
    <t>Fish Cults</t>
  </si>
  <si>
    <t>Monkey Cults</t>
  </si>
  <si>
    <t>Rat Cult</t>
  </si>
  <si>
    <t>Saurian Cults</t>
  </si>
  <si>
    <t>Snake Cults</t>
  </si>
  <si>
    <t>Spider Cults</t>
  </si>
  <si>
    <t>Liantelië</t>
  </si>
  <si>
    <t>Ungwaith</t>
  </si>
  <si>
    <t>Black Widows</t>
  </si>
  <si>
    <t>Deadly Tarantulas</t>
  </si>
  <si>
    <t>Scorpion Cults</t>
  </si>
  <si>
    <t>Wolf Cults</t>
  </si>
  <si>
    <t>Horse Tribes</t>
  </si>
  <si>
    <t>Heron Tribes</t>
  </si>
  <si>
    <t>Rat Tribes</t>
  </si>
  <si>
    <t>Lizard Tribes</t>
  </si>
  <si>
    <t xml:space="preserve">Snake Tribes </t>
  </si>
  <si>
    <t>Scorpion Tribes</t>
  </si>
  <si>
    <t>Deer Tribes</t>
  </si>
  <si>
    <t>Buffalo Tribes</t>
  </si>
  <si>
    <t>Eagle Tribes</t>
  </si>
  <si>
    <t>Raven Tribes</t>
  </si>
  <si>
    <t>Bear Tribes</t>
  </si>
  <si>
    <t>Coyote Tribes</t>
  </si>
  <si>
    <t>Cougar Tribes</t>
  </si>
  <si>
    <t>Fish Tribes</t>
  </si>
  <si>
    <t>Owl Tribes</t>
  </si>
  <si>
    <t>Deadly Adders</t>
  </si>
  <si>
    <t>Green Anacondas</t>
  </si>
  <si>
    <t>Black Boas</t>
  </si>
  <si>
    <t>Golden Cobras</t>
  </si>
  <si>
    <t>Emlyghwaith</t>
  </si>
  <si>
    <t>Grey Rattlesnakes</t>
  </si>
  <si>
    <t>Venomous Vipers</t>
  </si>
  <si>
    <t>Black Scorpions</t>
  </si>
  <si>
    <t>Bronze Scorpions</t>
  </si>
  <si>
    <t>Grey Scorpions</t>
  </si>
  <si>
    <t>Red Scorpions</t>
  </si>
  <si>
    <t>Atrocious Atracids</t>
  </si>
  <si>
    <t>Dark Spiders</t>
  </si>
  <si>
    <t>Hangers in the Hemlocks</t>
  </si>
  <si>
    <t>Seekers of the Lost</t>
  </si>
  <si>
    <t>Sandwalkers</t>
  </si>
  <si>
    <t>White Sandwalkers</t>
  </si>
  <si>
    <t>Grey Sandwalkers</t>
  </si>
  <si>
    <t>Black Sandwalkers</t>
  </si>
  <si>
    <t>Readers of the Pattern</t>
  </si>
  <si>
    <t>Light Readers</t>
  </si>
  <si>
    <t>Dark Readers</t>
  </si>
  <si>
    <t>Mammoth Tribes</t>
  </si>
  <si>
    <t>Sabre-Toothed Tiger Tribes</t>
  </si>
  <si>
    <t>Dolphin Riders</t>
  </si>
  <si>
    <t>Keragund</t>
  </si>
  <si>
    <t>Icelands</t>
  </si>
  <si>
    <t>North East Forest</t>
  </si>
  <si>
    <t>Mountains of the Dwarves and Eastern Mountain Range</t>
  </si>
  <si>
    <t>Jungle</t>
  </si>
  <si>
    <t>Caspian Mountains</t>
  </si>
  <si>
    <t>Great Desert</t>
  </si>
  <si>
    <t>Grasslands</t>
  </si>
  <si>
    <t>Inner Sea (Great Ocean)</t>
  </si>
  <si>
    <t>Outer Sea (Sea of CASPIS)</t>
  </si>
  <si>
    <t>Taur Galen</t>
  </si>
  <si>
    <t>Valdrean Plain</t>
  </si>
  <si>
    <t>North West Forest</t>
  </si>
  <si>
    <t>Great Swamp</t>
  </si>
  <si>
    <t>Northlands</t>
  </si>
  <si>
    <t>Kyr</t>
  </si>
  <si>
    <t>Secret Isle</t>
  </si>
  <si>
    <t>Mountain Ranges of the Underworld</t>
  </si>
  <si>
    <t>Desert of Fire and Trikāf</t>
  </si>
  <si>
    <t>Far Lands</t>
  </si>
  <si>
    <t>Lazy Lands</t>
  </si>
  <si>
    <t>Blasted Lands and Great Orcish Empire</t>
  </si>
  <si>
    <t>Sea of Mizzin and Lost Deserts</t>
  </si>
  <si>
    <t>Gurdor and Zarmator</t>
  </si>
  <si>
    <t>North Western Deserts</t>
  </si>
  <si>
    <t>Hulmo &amp; The Lesser Orcish Empire</t>
  </si>
  <si>
    <t>Animals</t>
  </si>
  <si>
    <t>Trees</t>
  </si>
  <si>
    <t>Bat</t>
  </si>
  <si>
    <t>Bear</t>
  </si>
  <si>
    <t>Eagle</t>
  </si>
  <si>
    <t>Heron</t>
  </si>
  <si>
    <t>Raven</t>
  </si>
  <si>
    <t>Owl</t>
  </si>
  <si>
    <t>Cougar</t>
  </si>
  <si>
    <t>Lion</t>
  </si>
  <si>
    <t>Tiger</t>
  </si>
  <si>
    <t>Jaguar</t>
  </si>
  <si>
    <t>Puma</t>
  </si>
  <si>
    <t>Sabre-Toothed Tiger</t>
  </si>
  <si>
    <t>Polar Bear</t>
  </si>
  <si>
    <t>Elephant</t>
  </si>
  <si>
    <t>Mammoth</t>
  </si>
  <si>
    <r>
      <t>M</t>
    </r>
    <r>
      <rPr>
        <sz val="12"/>
        <rFont val="Aptos Narrow"/>
        <family val="2"/>
      </rPr>
      <t>û</t>
    </r>
    <r>
      <rPr>
        <sz val="12"/>
        <rFont val="Times New Roman"/>
        <family val="1"/>
      </rPr>
      <t>mak</t>
    </r>
  </si>
  <si>
    <t>Fish</t>
  </si>
  <si>
    <t>Dolphin</t>
  </si>
  <si>
    <t>Orca</t>
  </si>
  <si>
    <t>Shark</t>
  </si>
  <si>
    <t>Whale</t>
  </si>
  <si>
    <t>Gorilla</t>
  </si>
  <si>
    <t>Monkey</t>
  </si>
  <si>
    <t>Lizard</t>
  </si>
  <si>
    <t>Scorpion</t>
  </si>
  <si>
    <t>Snake</t>
  </si>
  <si>
    <t>Spider</t>
  </si>
  <si>
    <t>Deer</t>
  </si>
  <si>
    <t>Aurochs Tribes</t>
  </si>
  <si>
    <t>Birch</t>
  </si>
  <si>
    <t>Rowan</t>
  </si>
  <si>
    <t>Ash</t>
  </si>
  <si>
    <t>Alder</t>
  </si>
  <si>
    <t>Willow</t>
  </si>
  <si>
    <t>Hawthorn</t>
  </si>
  <si>
    <t>Mallorn</t>
  </si>
  <si>
    <t>Oak</t>
  </si>
  <si>
    <t>Hazel</t>
  </si>
  <si>
    <t>Elder</t>
  </si>
  <si>
    <t>Blackthorn</t>
  </si>
  <si>
    <t>Yew</t>
  </si>
  <si>
    <t>Aspen/Poplar</t>
  </si>
  <si>
    <t>Beech</t>
  </si>
  <si>
    <t>Cherry</t>
  </si>
  <si>
    <t>Elm</t>
  </si>
  <si>
    <t>Pine</t>
  </si>
  <si>
    <t>Maple/Sycamore</t>
  </si>
  <si>
    <t>Hemlock</t>
  </si>
  <si>
    <t>Spruce</t>
  </si>
  <si>
    <t>Larch/Tamarack</t>
  </si>
  <si>
    <t>Juniper</t>
  </si>
  <si>
    <t>Sequoia</t>
  </si>
  <si>
    <t>Fir/Douglas Fir</t>
  </si>
  <si>
    <t>Araucaria</t>
  </si>
  <si>
    <t>Wolf</t>
  </si>
  <si>
    <t>Coyote</t>
  </si>
  <si>
    <t>Dire Wolf</t>
  </si>
  <si>
    <t>Fox</t>
  </si>
  <si>
    <t>Hawk</t>
  </si>
  <si>
    <t>Thieves' Guild/ Brotherhood:</t>
  </si>
  <si>
    <t>Branch/Chapter:</t>
  </si>
  <si>
    <t>User Scratchpad</t>
  </si>
  <si>
    <t>Dw</t>
  </si>
  <si>
    <t>Dwarves</t>
  </si>
  <si>
    <t>Sect/Faction/Cult:</t>
  </si>
  <si>
    <t>Temple:</t>
  </si>
  <si>
    <t>Clerical Spell List:</t>
  </si>
  <si>
    <t>I.e. Poison Levels accumulate as normal, but Poison Effects = (PL-PlL)</t>
  </si>
  <si>
    <r>
      <t>Anarea</t>
    </r>
    <r>
      <rPr>
        <sz val="12"/>
        <rFont val="Old English Text MT"/>
        <family val="4"/>
      </rPr>
      <t xml:space="preserve">  </t>
    </r>
    <r>
      <rPr>
        <sz val="18"/>
        <color indexed="12"/>
        <rFont val="Old English Text MT"/>
        <family val="4"/>
      </rPr>
      <t>Character Specification</t>
    </r>
  </si>
  <si>
    <t>Pitless Pythons</t>
  </si>
  <si>
    <t>Condor</t>
  </si>
  <si>
    <t>Dog</t>
  </si>
  <si>
    <t>Elk/Moose</t>
  </si>
  <si>
    <t>Orang-Utang</t>
  </si>
  <si>
    <t>Hyaena</t>
  </si>
  <si>
    <t>Lynx</t>
  </si>
  <si>
    <t>Albatross</t>
  </si>
  <si>
    <t>Cobra</t>
  </si>
  <si>
    <t>Python</t>
  </si>
  <si>
    <t>Viper/Rattlesnake/Adder</t>
  </si>
  <si>
    <t>Boa/Anaconda</t>
  </si>
  <si>
    <t>Leopard</t>
  </si>
  <si>
    <t>Snow Leopard</t>
  </si>
  <si>
    <t>Sea Snake</t>
  </si>
  <si>
    <t>Snow Leopard Tribes</t>
  </si>
  <si>
    <t>Boar</t>
  </si>
  <si>
    <t>Reindeer Tribes</t>
  </si>
  <si>
    <t>Cat</t>
  </si>
  <si>
    <t>Horse</t>
  </si>
  <si>
    <t>Tarantula</t>
  </si>
  <si>
    <t>Funnel-Web Spider</t>
  </si>
  <si>
    <t>Aurochs</t>
  </si>
  <si>
    <t>Goat</t>
  </si>
  <si>
    <t>Buffalo/Bison</t>
  </si>
  <si>
    <t>Yak</t>
  </si>
  <si>
    <t>Yak Tribes</t>
  </si>
  <si>
    <t>Gods</t>
  </si>
  <si>
    <t>SARAN</t>
  </si>
  <si>
    <t>ESCUS</t>
  </si>
  <si>
    <t>SHELDA</t>
  </si>
  <si>
    <t>BUDIF</t>
  </si>
  <si>
    <t>FIDAR</t>
  </si>
  <si>
    <t>WACON</t>
  </si>
  <si>
    <t>PAREL</t>
  </si>
  <si>
    <t>ORIL</t>
  </si>
  <si>
    <t>OPSOR</t>
  </si>
  <si>
    <t>TIPRE</t>
  </si>
  <si>
    <t>DALA</t>
  </si>
  <si>
    <t>CAERULAS</t>
  </si>
  <si>
    <t>MIRIMI</t>
  </si>
  <si>
    <t>RAYLIT</t>
  </si>
  <si>
    <t>RAVAR</t>
  </si>
  <si>
    <t>ALTIS</t>
  </si>
  <si>
    <t>HAERIM</t>
  </si>
  <si>
    <t>LOFIR</t>
  </si>
  <si>
    <t>WAGREN</t>
  </si>
  <si>
    <t>SOROK</t>
  </si>
  <si>
    <t>HALKI</t>
  </si>
  <si>
    <t>TERRIK</t>
  </si>
  <si>
    <t>ZAKEL</t>
  </si>
  <si>
    <t>JAPAL</t>
  </si>
  <si>
    <t>VIXEW</t>
  </si>
  <si>
    <t>YELLIP</t>
  </si>
  <si>
    <t>LLYWELLA</t>
  </si>
  <si>
    <t>XAXIX</t>
  </si>
  <si>
    <t>NORRID</t>
  </si>
  <si>
    <t>UMBOR</t>
  </si>
  <si>
    <t>QUAYAG</t>
  </si>
  <si>
    <t>THE GREAT WHITE WOLF</t>
  </si>
  <si>
    <t>THE GREAT WISE OWL</t>
  </si>
  <si>
    <t>THE RED SCORPION</t>
  </si>
  <si>
    <t>THE WALKER IN THE FOREST</t>
  </si>
  <si>
    <t>THE GREAT WHITE COYOTE</t>
  </si>
  <si>
    <t>THE HORNED RIDER</t>
  </si>
  <si>
    <t>BARRL</t>
  </si>
  <si>
    <t>DAELOTH</t>
  </si>
  <si>
    <t>LIAKA</t>
  </si>
  <si>
    <t>PHANTOM</t>
  </si>
  <si>
    <t>STRAMMASCH</t>
  </si>
  <si>
    <t>THE GREAT BOAR ESCUS</t>
  </si>
  <si>
    <t>THE GREAT SOW IN THE MOON</t>
  </si>
  <si>
    <t>OUROBOROS</t>
  </si>
  <si>
    <t>SIMBA</t>
  </si>
  <si>
    <t>SKARZ</t>
  </si>
  <si>
    <t>THE GREAT BEAR ESCUS</t>
  </si>
  <si>
    <t>THE GREAT WHITE BEAR</t>
  </si>
  <si>
    <t>UFFEH</t>
  </si>
  <si>
    <t>SORONVAL</t>
  </si>
  <si>
    <t>RATTUS</t>
  </si>
  <si>
    <t>YSSA</t>
  </si>
  <si>
    <t>UNGOL</t>
  </si>
  <si>
    <t>THE GREAT BLACK WOLF ALTIS</t>
  </si>
  <si>
    <t>URIEL</t>
  </si>
  <si>
    <t>Dog Cults</t>
  </si>
  <si>
    <t>Hyaena Cults</t>
  </si>
  <si>
    <t>Squirrel</t>
  </si>
  <si>
    <t>Ray/Manta Ray</t>
  </si>
  <si>
    <t>Spookfish/Ghost Shark/Chimaera</t>
  </si>
  <si>
    <t>Mouse</t>
  </si>
  <si>
    <t>Toad</t>
  </si>
  <si>
    <t>Crocodile Cults</t>
  </si>
  <si>
    <t>Alligator</t>
  </si>
  <si>
    <t>Crocodile</t>
  </si>
  <si>
    <t>THE GREAT BLACK BULL</t>
  </si>
  <si>
    <t>THE GREAT BLACK CROCODILE</t>
  </si>
  <si>
    <t>THE WHITE STAG</t>
  </si>
  <si>
    <t>HANDAMAN</t>
  </si>
  <si>
    <t>GANCHA</t>
  </si>
  <si>
    <t>SNARF</t>
  </si>
  <si>
    <t>URSO</t>
  </si>
  <si>
    <t>KAROK</t>
  </si>
  <si>
    <t>XSARA</t>
  </si>
  <si>
    <t>Crow</t>
  </si>
  <si>
    <t>Jackdaw</t>
  </si>
  <si>
    <t>Parrot</t>
  </si>
  <si>
    <t>Pterodactyl</t>
  </si>
  <si>
    <t>Powered by</t>
  </si>
  <si>
    <t>until 24 XIII 2500</t>
  </si>
  <si>
    <t>until 7 VI 2501</t>
  </si>
  <si>
    <t>from 24 XIII 2500</t>
  </si>
  <si>
    <t>from 8 VI 2501</t>
  </si>
  <si>
    <t>not from 2297 to IX 2501</t>
  </si>
  <si>
    <t>from 2297</t>
  </si>
  <si>
    <t>VULTURO</t>
  </si>
  <si>
    <t>OUROBOROS (Dark Side)</t>
  </si>
  <si>
    <t>JAKK/THE RED COYOTE</t>
  </si>
  <si>
    <t>Powered by:</t>
  </si>
  <si>
    <t>Medium</t>
  </si>
  <si>
    <t>Number</t>
  </si>
  <si>
    <t>THE DARK BAT</t>
  </si>
  <si>
    <t>Druids of the Overworld</t>
  </si>
  <si>
    <t>Druids of the Underworld</t>
  </si>
  <si>
    <t>Hedge/Wandering Druids</t>
  </si>
  <si>
    <t>Anti-Druids</t>
  </si>
  <si>
    <t>Media:</t>
  </si>
  <si>
    <t>Spells:</t>
  </si>
  <si>
    <t>Mistletoe</t>
  </si>
  <si>
    <t xml:space="preserve"> @ DrL 6</t>
  </si>
  <si>
    <t>Gods / False Gods</t>
  </si>
  <si>
    <t>SURGAT</t>
  </si>
  <si>
    <t>HALCYON</t>
  </si>
  <si>
    <t>MERLO</t>
  </si>
  <si>
    <t>YWHRC</t>
  </si>
  <si>
    <t>KASHAT</t>
  </si>
  <si>
    <t>MELLIA</t>
  </si>
  <si>
    <t>ORORO</t>
  </si>
  <si>
    <t>LAMMIA</t>
  </si>
  <si>
    <t>ULULO</t>
  </si>
  <si>
    <t>RABBAT</t>
  </si>
  <si>
    <t>MORCOR</t>
  </si>
  <si>
    <t>towards WS</t>
  </si>
  <si>
    <t>Total FtL Req. for allocated WS:</t>
  </si>
  <si>
    <t>FtL breaks Req</t>
  </si>
  <si>
    <t>FtL breaks still allocatable to WS:</t>
  </si>
  <si>
    <r>
      <rPr>
        <b/>
        <sz val="12"/>
        <rFont val="Times New Roman"/>
        <family val="1"/>
      </rPr>
      <t xml:space="preserve">  M</t>
    </r>
    <r>
      <rPr>
        <sz val="12"/>
        <rFont val="Times New Roman"/>
        <family val="1"/>
      </rPr>
      <t>ithri</t>
    </r>
    <r>
      <rPr>
        <b/>
        <sz val="12"/>
        <rFont val="Times New Roman"/>
        <family val="1"/>
      </rPr>
      <t>L/MA</t>
    </r>
    <r>
      <rPr>
        <sz val="12"/>
        <rFont val="Times New Roman"/>
        <family val="1"/>
      </rPr>
      <t>gic Bonuses</t>
    </r>
  </si>
  <si>
    <t>Knives</t>
  </si>
  <si>
    <t>1/F</t>
  </si>
  <si>
    <t>Hand Axe Thrown</t>
  </si>
  <si>
    <t>Occurrence #</t>
  </si>
  <si>
    <r>
      <t>Transport via [</t>
    </r>
    <r>
      <rPr>
        <sz val="11"/>
        <rFont val="Times New Roman"/>
        <family val="1"/>
      </rPr>
      <t>Specified Plant</t>
    </r>
    <r>
      <rPr>
        <sz val="12"/>
        <rFont val="Times New Roman"/>
        <family val="1"/>
      </rPr>
      <t>]</t>
    </r>
  </si>
  <si>
    <t>Armour Coverage</t>
  </si>
  <si>
    <t>Comments</t>
  </si>
  <si>
    <t>Switch Weapon ◄ꟷ► Shield Hands?</t>
  </si>
  <si>
    <t>* 1</t>
  </si>
  <si>
    <t>+1 to +250</t>
  </si>
  <si>
    <t>* 3/4</t>
  </si>
  <si>
    <t>+251 to +750</t>
  </si>
  <si>
    <t>* 1/2</t>
  </si>
  <si>
    <t>+751 to +1500</t>
  </si>
  <si>
    <t>* 1/4</t>
  </si>
  <si>
    <t>+1501 to +2250</t>
  </si>
  <si>
    <t>* 1/8</t>
  </si>
  <si>
    <t>Movement Rate</t>
  </si>
  <si>
    <t>Encumbrance Wt Pts &gt; Carrying Capacity</t>
  </si>
  <si>
    <t>Movement allowance</t>
  </si>
  <si>
    <t>Thievish Activities %Roll Multiplier for Amour Type:</t>
  </si>
  <si>
    <t>%Roll Multiplier for Majority Armour Type Coverage:</t>
  </si>
  <si>
    <t>Bamboo</t>
  </si>
  <si>
    <t>Brazil Nut</t>
  </si>
  <si>
    <t>Cocoa Tree</t>
  </si>
  <si>
    <t>Cycad</t>
  </si>
  <si>
    <t>Kapok</t>
  </si>
  <si>
    <t>Magnolia</t>
  </si>
  <si>
    <t>Mahogany</t>
  </si>
  <si>
    <t>Mangrove</t>
  </si>
  <si>
    <t>Palm</t>
  </si>
  <si>
    <t>Platypodium</t>
  </si>
  <si>
    <t>Quinine Bark</t>
  </si>
  <si>
    <t>Rubber Tree</t>
  </si>
  <si>
    <t>Sandbox Tree</t>
  </si>
  <si>
    <t>Walking Palm</t>
  </si>
  <si>
    <t>SS</t>
  </si>
  <si>
    <t>Reindeer/Caribou</t>
  </si>
  <si>
    <t>Snowy Owl</t>
  </si>
  <si>
    <t>Arctic Fox</t>
  </si>
  <si>
    <t>Narwhal</t>
  </si>
  <si>
    <t>Seal</t>
  </si>
  <si>
    <t>Max +s:</t>
  </si>
  <si>
    <t>THE GREAT BLACK GORILLA</t>
  </si>
  <si>
    <t>TERRIK for Dark Cults</t>
  </si>
  <si>
    <t>SARAN for N/L Elephant Cults</t>
  </si>
  <si>
    <t>SARAN for N/L Cattle Cults</t>
  </si>
  <si>
    <t>THE GREAT WHITE BULL / BUFFALO / HEIFER</t>
  </si>
  <si>
    <t>Cattle Cults</t>
  </si>
  <si>
    <t>Not actually Clerical, but His Apostles and Disciples use Changing to appear to Cast Clerical Spells.</t>
  </si>
  <si>
    <t>Not actually Clerical, but His Clerics use Thievery to appear to Cast Clerical Spells.</t>
  </si>
  <si>
    <t>THE GREAT GOLDEN HEIFER</t>
  </si>
  <si>
    <t>Reflex Counterspell</t>
  </si>
  <si>
    <t>THE LORD OF VAMPIRES</t>
  </si>
  <si>
    <t>Antelope</t>
  </si>
  <si>
    <t>Deer/Antelope Cults</t>
  </si>
  <si>
    <t>CERVIDA</t>
  </si>
  <si>
    <t>Aspect</t>
  </si>
  <si>
    <t>Evil</t>
  </si>
  <si>
    <t>Malevolence</t>
  </si>
  <si>
    <t>Terror</t>
  </si>
  <si>
    <t>Creation</t>
  </si>
  <si>
    <t>The Sun</t>
  </si>
  <si>
    <t>Good</t>
  </si>
  <si>
    <t>Peace</t>
  </si>
  <si>
    <t>Elephants</t>
  </si>
  <si>
    <t>Hate</t>
  </si>
  <si>
    <t>Daydreams</t>
  </si>
  <si>
    <t>Monkeys</t>
  </si>
  <si>
    <t>Mammals</t>
  </si>
  <si>
    <t>Crocodiles</t>
  </si>
  <si>
    <t>Nightmares</t>
  </si>
  <si>
    <t>Life and Death, The Karmic Order, Neutrality</t>
  </si>
  <si>
    <t>Delirium</t>
  </si>
  <si>
    <t>Destruction</t>
  </si>
  <si>
    <t>Fancy</t>
  </si>
  <si>
    <t>Dreams</t>
  </si>
  <si>
    <t>The Moon</t>
  </si>
  <si>
    <t>Despair</t>
  </si>
  <si>
    <t>Hope</t>
  </si>
  <si>
    <t>The Harvest, Fertility</t>
  </si>
  <si>
    <t>Viciousness</t>
  </si>
  <si>
    <t>Imagination</t>
  </si>
  <si>
    <t>Saurians</t>
  </si>
  <si>
    <t>Music</t>
  </si>
  <si>
    <t>Ghosts</t>
  </si>
  <si>
    <t>Organisms</t>
  </si>
  <si>
    <t>Delusion</t>
  </si>
  <si>
    <t>Rats</t>
  </si>
  <si>
    <t>Change</t>
  </si>
  <si>
    <t>Law</t>
  </si>
  <si>
    <t>Love</t>
  </si>
  <si>
    <t>Cats</t>
  </si>
  <si>
    <t>Boars</t>
  </si>
  <si>
    <t>Scorpions</t>
  </si>
  <si>
    <t>The Undead</t>
  </si>
  <si>
    <t>Eagles</t>
  </si>
  <si>
    <t>Violence</t>
  </si>
  <si>
    <t>Prophecy</t>
  </si>
  <si>
    <t>Waste</t>
  </si>
  <si>
    <t>Bats</t>
  </si>
  <si>
    <t>Bears</t>
  </si>
  <si>
    <t>Cattle</t>
  </si>
  <si>
    <t>Wolves</t>
  </si>
  <si>
    <t>Coyotes</t>
  </si>
  <si>
    <t>Trouble</t>
  </si>
  <si>
    <t>The North West Forest</t>
  </si>
  <si>
    <t>Mania</t>
  </si>
  <si>
    <t>Shadows</t>
  </si>
  <si>
    <t>Spiders</t>
  </si>
  <si>
    <t>Scavengers</t>
  </si>
  <si>
    <t>Reptiles</t>
  </si>
  <si>
    <t>Harmony</t>
  </si>
  <si>
    <t>Insects</t>
  </si>
  <si>
    <t>Snakes</t>
  </si>
  <si>
    <t>Birds</t>
  </si>
  <si>
    <t>Madness</t>
  </si>
  <si>
    <t>War</t>
  </si>
  <si>
    <t>Plants</t>
  </si>
  <si>
    <t>Dark Saurians</t>
  </si>
  <si>
    <t>EvenStar, Elf Friend</t>
  </si>
  <si>
    <t>Wickedness, The Trickster</t>
  </si>
  <si>
    <t>Gorillas, Monkeys</t>
  </si>
  <si>
    <t>Owls, Wisdom, Birds</t>
  </si>
  <si>
    <t>Vampires, Bats</t>
  </si>
  <si>
    <t>Scorpions, Hate</t>
  </si>
  <si>
    <t>Clouds, Birds</t>
  </si>
  <si>
    <t>Fishes</t>
  </si>
  <si>
    <t>Theft</t>
  </si>
  <si>
    <t>Chaos, Mistress of Rumour</t>
  </si>
  <si>
    <t>Boars, The Moon</t>
  </si>
  <si>
    <t>Bears, Good</t>
  </si>
  <si>
    <t>Wolves, Evil</t>
  </si>
  <si>
    <t>Boars, Good</t>
  </si>
  <si>
    <t>Deer, Harmony</t>
  </si>
  <si>
    <t>Cattle, Law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</si>
</sst>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000"/>
    <numFmt numFmtId="167" formatCode="0.00000"/>
    <numFmt numFmtId="168" formatCode="\+0.0;\-0.0"/>
  </numFmts>
  <fonts count="66" x14ac:knownFonts="1">
    <font>
      <sz val="12"/>
      <name val="Times New Roman"/>
      <family val="1"/>
    </font>
    <font>
      <sz val="10"/>
      <name val="MS Sans Serif"/>
      <family val="2"/>
    </font>
    <font>
      <b/>
      <u/>
      <sz val="12"/>
      <color indexed="14"/>
      <name val="Courier"/>
      <family val="3"/>
    </font>
    <font>
      <b/>
      <sz val="12"/>
      <name val="Times New Roman"/>
      <family val="1"/>
    </font>
    <font>
      <sz val="12"/>
      <name val="Times New Roman"/>
      <family val="1"/>
    </font>
    <font>
      <b/>
      <sz val="12"/>
      <color indexed="32"/>
      <name val="Times New Roman"/>
      <family val="1"/>
    </font>
    <font>
      <b/>
      <sz val="12"/>
      <name val="Times New Roman"/>
      <family val="1"/>
    </font>
    <font>
      <i/>
      <sz val="12"/>
      <name val="Times New Roman"/>
      <family val="1"/>
    </font>
    <font>
      <sz val="12"/>
      <name val="Times New Roman"/>
      <family val="1"/>
    </font>
    <font>
      <sz val="12"/>
      <color indexed="13"/>
      <name val="Times New Roman"/>
      <family val="1"/>
    </font>
    <font>
      <sz val="12"/>
      <color indexed="11"/>
      <name val="Times New Roman"/>
      <family val="1"/>
    </font>
    <font>
      <sz val="12"/>
      <color indexed="10"/>
      <name val="Times New Roman"/>
      <family val="1"/>
    </font>
    <font>
      <sz val="12"/>
      <name val="Times New Roman"/>
      <family val="1"/>
    </font>
    <font>
      <sz val="8"/>
      <color indexed="81"/>
      <name val="Tahoma"/>
      <family val="2"/>
    </font>
    <font>
      <b/>
      <sz val="8"/>
      <color indexed="81"/>
      <name val="Tahoma"/>
      <family val="2"/>
    </font>
    <font>
      <b/>
      <sz val="12"/>
      <color indexed="52"/>
      <name val="Times New Roman"/>
      <family val="1"/>
    </font>
    <font>
      <b/>
      <sz val="12"/>
      <color indexed="41"/>
      <name val="Times New Roman"/>
      <family val="1"/>
    </font>
    <font>
      <b/>
      <sz val="12"/>
      <color indexed="10"/>
      <name val="Times New Roman"/>
      <family val="1"/>
    </font>
    <font>
      <b/>
      <sz val="12"/>
      <color indexed="56"/>
      <name val="Times New Roman"/>
      <family val="1"/>
    </font>
    <font>
      <b/>
      <sz val="12"/>
      <color indexed="17"/>
      <name val="Times New Roman"/>
      <family val="1"/>
    </font>
    <font>
      <b/>
      <sz val="12"/>
      <color indexed="13"/>
      <name val="Times New Roman"/>
      <family val="1"/>
    </font>
    <font>
      <b/>
      <sz val="12"/>
      <color indexed="20"/>
      <name val="Times New Roman"/>
      <family val="1"/>
    </font>
    <font>
      <b/>
      <sz val="12"/>
      <color indexed="47"/>
      <name val="Times New Roman"/>
      <family val="1"/>
    </font>
    <font>
      <b/>
      <sz val="12"/>
      <color indexed="63"/>
      <name val="Times New Roman"/>
      <family val="1"/>
    </font>
    <font>
      <b/>
      <sz val="12"/>
      <color indexed="8"/>
      <name val="Times New Roman"/>
      <family val="1"/>
    </font>
    <font>
      <b/>
      <sz val="10"/>
      <name val="Helv"/>
    </font>
    <font>
      <sz val="10"/>
      <name val="Helv"/>
    </font>
    <font>
      <sz val="10"/>
      <name val="Times New Roman"/>
      <family val="1"/>
    </font>
    <font>
      <b/>
      <sz val="10"/>
      <name val="Times New Roman"/>
      <family val="1"/>
    </font>
    <font>
      <sz val="10"/>
      <name val="Arial"/>
      <family val="2"/>
    </font>
    <font>
      <b/>
      <sz val="10"/>
      <name val="Arial"/>
      <family val="2"/>
    </font>
    <font>
      <i/>
      <sz val="10"/>
      <name val="Helv"/>
    </font>
    <font>
      <b/>
      <i/>
      <sz val="10"/>
      <name val="Helv"/>
    </font>
    <font>
      <sz val="11"/>
      <name val="Arial Narrow"/>
      <family val="2"/>
    </font>
    <font>
      <sz val="9"/>
      <color indexed="81"/>
      <name val="Tahoma"/>
      <family val="2"/>
    </font>
    <font>
      <b/>
      <sz val="9"/>
      <color indexed="81"/>
      <name val="Tahoma"/>
      <family val="2"/>
    </font>
    <font>
      <b/>
      <i/>
      <sz val="12"/>
      <color rgb="FFC00000"/>
      <name val="Times New Roman"/>
      <family val="1"/>
    </font>
    <font>
      <i/>
      <sz val="11"/>
      <color rgb="FF982843"/>
      <name val="Times New Roman"/>
      <family val="1"/>
    </font>
    <font>
      <sz val="11"/>
      <color rgb="FF000000"/>
      <name val="Times New Roman"/>
      <family val="1"/>
    </font>
    <font>
      <sz val="12"/>
      <color rgb="FFFF0000"/>
      <name val="Times New Roman"/>
      <family val="1"/>
    </font>
    <font>
      <b/>
      <i/>
      <sz val="12"/>
      <name val="Times New Roman"/>
      <family val="1"/>
    </font>
    <font>
      <sz val="12"/>
      <color rgb="FFC00000"/>
      <name val="Times New Roman"/>
      <family val="1"/>
    </font>
    <font>
      <sz val="11.5"/>
      <name val="Times New Roman"/>
      <family val="1"/>
    </font>
    <font>
      <b/>
      <sz val="11.5"/>
      <name val="Times New Roman"/>
      <family val="1"/>
    </font>
    <font>
      <b/>
      <sz val="9"/>
      <name val="Times New Roman"/>
      <family val="1"/>
    </font>
    <font>
      <sz val="12"/>
      <color rgb="FFF9C507"/>
      <name val="Times New Roman"/>
      <family val="1"/>
    </font>
    <font>
      <sz val="12"/>
      <color rgb="FF33CC33"/>
      <name val="Times New Roman"/>
      <family val="1"/>
    </font>
    <font>
      <sz val="12"/>
      <name val="Aptos Narrow"/>
      <family val="2"/>
    </font>
    <font>
      <sz val="14"/>
      <name val="Times New Roman"/>
      <family val="1"/>
    </font>
    <font>
      <b/>
      <sz val="12"/>
      <name val="Helv"/>
    </font>
    <font>
      <sz val="12"/>
      <name val="Helv"/>
    </font>
    <font>
      <b/>
      <sz val="14"/>
      <name val="Helv"/>
    </font>
    <font>
      <sz val="14"/>
      <name val="Helv"/>
    </font>
    <font>
      <i/>
      <sz val="14"/>
      <name val="Helv"/>
    </font>
    <font>
      <b/>
      <sz val="12"/>
      <name val="Arial"/>
      <family val="2"/>
    </font>
    <font>
      <sz val="12"/>
      <name val="Arial"/>
      <family val="2"/>
    </font>
    <font>
      <sz val="24"/>
      <color indexed="10"/>
      <name val="Old English Text MT"/>
      <family val="4"/>
    </font>
    <font>
      <sz val="12"/>
      <name val="Old English Text MT"/>
      <family val="4"/>
    </font>
    <font>
      <sz val="18"/>
      <color indexed="12"/>
      <name val="Old English Text MT"/>
      <family val="4"/>
    </font>
    <font>
      <b/>
      <u/>
      <sz val="12"/>
      <name val="Times New Roman"/>
      <family val="1"/>
    </font>
    <font>
      <b/>
      <sz val="14"/>
      <name val="Times New Roman"/>
      <family val="1"/>
    </font>
    <font>
      <sz val="11"/>
      <name val="Times New Roman"/>
      <family val="1"/>
    </font>
    <font>
      <sz val="11.5"/>
      <color rgb="FFC00000"/>
      <name val="Times New Roman"/>
      <family val="1"/>
    </font>
    <font>
      <i/>
      <sz val="8"/>
      <color indexed="81"/>
      <name val="Tahoma"/>
      <family val="2"/>
    </font>
    <font>
      <b/>
      <i/>
      <sz val="8"/>
      <color indexed="81"/>
      <name val="Tahoma"/>
      <family val="2"/>
    </font>
    <font>
      <sz val="12"/>
      <color theme="0" tint="-0.499984740745262"/>
      <name val="Times New Roman"/>
      <family val="1"/>
    </font>
  </fonts>
  <fills count="11">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DDDDDD"/>
        <bgColor indexed="64"/>
      </patternFill>
    </fill>
    <fill>
      <patternFill patternType="solid">
        <fgColor theme="0" tint="-4.9989318521683403E-2"/>
        <bgColor indexed="64"/>
      </patternFill>
    </fill>
    <fill>
      <patternFill patternType="solid">
        <fgColor theme="0"/>
        <bgColor indexed="64"/>
      </patternFill>
    </fill>
  </fills>
  <borders count="74">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indexed="64"/>
      </left>
      <right/>
      <top/>
      <bottom/>
      <diagonal/>
    </border>
    <border>
      <left/>
      <right style="thin">
        <color indexed="64"/>
      </right>
      <top/>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34998626667073579"/>
      </bottom>
      <diagonal/>
    </border>
    <border>
      <left style="thin">
        <color theme="0" tint="-0.24994659260841701"/>
      </left>
      <right/>
      <top/>
      <bottom style="thin">
        <color theme="0" tint="-0.2499465926084170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indexed="64"/>
      </left>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34998626667073579"/>
      </top>
      <bottom style="thin">
        <color theme="0" tint="-0.34998626667073579"/>
      </bottom>
      <diagonal/>
    </border>
    <border>
      <left style="thin">
        <color theme="0" tint="-0.24994659260841701"/>
      </left>
      <right/>
      <top style="thin">
        <color theme="0" tint="-0.24994659260841701"/>
      </top>
      <bottom style="thin">
        <color theme="0" tint="-0.24994659260841701"/>
      </bottom>
      <diagonal/>
    </border>
    <border>
      <left/>
      <right style="thin">
        <color theme="0" tint="-0.14996795556505021"/>
      </right>
      <top style="thin">
        <color theme="0" tint="-0.24994659260841701"/>
      </top>
      <bottom style="thin">
        <color theme="0" tint="-0.24994659260841701"/>
      </bottom>
      <diagonal/>
    </border>
    <border>
      <left style="thin">
        <color theme="0" tint="-0.14996795556505021"/>
      </left>
      <right/>
      <top style="thin">
        <color theme="0" tint="-0.24994659260841701"/>
      </top>
      <bottom style="thin">
        <color theme="0" tint="-0.24994659260841701"/>
      </bottom>
      <diagonal/>
    </border>
    <border>
      <left style="thin">
        <color theme="0" tint="-0.14996795556505021"/>
      </left>
      <right style="thin">
        <color theme="0" tint="-0.24994659260841701"/>
      </right>
      <top style="thin">
        <color theme="0" tint="-0.24994659260841701"/>
      </top>
      <bottom style="thin">
        <color theme="0" tint="-0.24994659260841701"/>
      </bottom>
      <diagonal/>
    </border>
    <border>
      <left style="thin">
        <color theme="0" tint="-0.14996795556505021"/>
      </left>
      <right/>
      <top style="thin">
        <color theme="0" tint="-0.14996795556505021"/>
      </top>
      <bottom style="thin">
        <color theme="0" tint="-0.14996795556505021"/>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bottom style="thin">
        <color theme="0" tint="-0.34998626667073579"/>
      </bottom>
      <diagonal/>
    </border>
    <border>
      <left/>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right/>
      <top style="thin">
        <color indexed="64"/>
      </top>
      <bottom style="double">
        <color indexed="64"/>
      </bottom>
      <diagonal/>
    </border>
    <border>
      <left/>
      <right style="thin">
        <color theme="0" tint="-0.24994659260841701"/>
      </right>
      <top style="thin">
        <color indexed="64"/>
      </top>
      <bottom style="double">
        <color indexed="64"/>
      </bottom>
      <diagonal/>
    </border>
    <border>
      <left style="thin">
        <color theme="0" tint="-0.24994659260841701"/>
      </left>
      <right style="thin">
        <color theme="0" tint="-0.24994659260841701"/>
      </right>
      <top style="thin">
        <color indexed="64"/>
      </top>
      <bottom style="double">
        <color indexed="64"/>
      </bottom>
      <diagonal/>
    </border>
    <border>
      <left style="thin">
        <color theme="0" tint="-0.24994659260841701"/>
      </left>
      <right/>
      <top style="thin">
        <color indexed="64"/>
      </top>
      <bottom style="double">
        <color indexed="64"/>
      </bottom>
      <diagonal/>
    </border>
    <border>
      <left/>
      <right style="thin">
        <color theme="0" tint="-0.34998626667073579"/>
      </right>
      <top/>
      <bottom style="thin">
        <color theme="0" tint="-0.24994659260841701"/>
      </bottom>
      <diagonal/>
    </border>
    <border>
      <left/>
      <right style="thin">
        <color theme="0" tint="-0.34998626667073579"/>
      </right>
      <top style="thin">
        <color theme="0" tint="-0.24994659260841701"/>
      </top>
      <bottom style="thin">
        <color theme="0" tint="-0.24994659260841701"/>
      </bottom>
      <diagonal/>
    </border>
    <border>
      <left/>
      <right style="thin">
        <color theme="0" tint="-0.34998626667073579"/>
      </right>
      <top style="thin">
        <color theme="0" tint="-0.24994659260841701"/>
      </top>
      <bottom style="thin">
        <color theme="0" tint="-0.34998626667073579"/>
      </bottom>
      <diagonal/>
    </border>
    <border>
      <left style="thin">
        <color theme="0" tint="-0.34998626667073579"/>
      </left>
      <right style="thin">
        <color theme="0" tint="-0.24994659260841701"/>
      </right>
      <top/>
      <bottom style="thin">
        <color theme="0" tint="-0.24994659260841701"/>
      </bottom>
      <diagonal/>
    </border>
    <border>
      <left style="thin">
        <color theme="0" tint="-0.34998626667073579"/>
      </left>
      <right style="thin">
        <color theme="0" tint="-0.24994659260841701"/>
      </right>
      <top style="thin">
        <color theme="0" tint="-0.24994659260841701"/>
      </top>
      <bottom style="thin">
        <color theme="0" tint="-0.24994659260841701"/>
      </bottom>
      <diagonal/>
    </border>
    <border>
      <left style="thin">
        <color theme="0" tint="-0.34998626667073579"/>
      </left>
      <right style="thin">
        <color theme="0" tint="-0.24994659260841701"/>
      </right>
      <top style="thin">
        <color theme="0" tint="-0.24994659260841701"/>
      </top>
      <bottom style="thin">
        <color theme="0" tint="-0.34998626667073579"/>
      </bottom>
      <diagonal/>
    </border>
    <border>
      <left style="thin">
        <color theme="0" tint="-0.24994659260841701"/>
      </left>
      <right/>
      <top style="thin">
        <color theme="0" tint="-0.24994659260841701"/>
      </top>
      <bottom style="thin">
        <color theme="0" tint="-0.34998626667073579"/>
      </bottom>
      <diagonal/>
    </border>
    <border>
      <left/>
      <right/>
      <top style="thin">
        <color theme="0" tint="-0.34998626667073579"/>
      </top>
      <bottom style="thin">
        <color theme="0" tint="-0.24994659260841701"/>
      </bottom>
      <diagonal/>
    </border>
    <border>
      <left/>
      <right/>
      <top style="thin">
        <color theme="0" tint="-0.24994659260841701"/>
      </top>
      <bottom style="thin">
        <color theme="0" tint="-0.34998626667073579"/>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style="thin">
        <color indexed="64"/>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top style="thin">
        <color theme="0" tint="-0.34998626667073579"/>
      </top>
      <bottom style="thin">
        <color indexed="64"/>
      </bottom>
      <diagonal/>
    </border>
    <border>
      <left/>
      <right/>
      <top style="thin">
        <color theme="0" tint="-0.34998626667073579"/>
      </top>
      <bottom style="thin">
        <color indexed="64"/>
      </bottom>
      <diagonal/>
    </border>
    <border>
      <left/>
      <right style="thin">
        <color indexed="64"/>
      </right>
      <top style="thin">
        <color theme="0" tint="-0.34998626667073579"/>
      </top>
      <bottom style="thin">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style="thin">
        <color theme="0" tint="-0.34998626667073579"/>
      </top>
      <bottom style="thin">
        <color indexed="64"/>
      </bottom>
      <diagonal/>
    </border>
    <border>
      <left style="thin">
        <color theme="0" tint="-0.34998626667073579"/>
      </left>
      <right/>
      <top style="thin">
        <color indexed="64"/>
      </top>
      <bottom style="thin">
        <color theme="0" tint="-0.34998626667073579"/>
      </bottom>
      <diagonal/>
    </border>
    <border>
      <left style="thin">
        <color theme="0" tint="-0.34998626667073579"/>
      </left>
      <right/>
      <top style="thin">
        <color theme="0" tint="-0.34998626667073579"/>
      </top>
      <bottom style="thin">
        <color indexed="64"/>
      </bottom>
      <diagonal/>
    </border>
    <border>
      <left style="thin">
        <color theme="0" tint="-0.34998626667073579"/>
      </left>
      <right/>
      <top/>
      <bottom/>
      <diagonal/>
    </border>
  </borders>
  <cellStyleXfs count="5">
    <xf numFmtId="0" fontId="0" fillId="0" borderId="0"/>
    <xf numFmtId="0" fontId="5" fillId="0" borderId="0"/>
    <xf numFmtId="9" fontId="1" fillId="0" borderId="0" applyFont="0" applyFill="0" applyBorder="0" applyAlignment="0" applyProtection="0"/>
    <xf numFmtId="0" fontId="2" fillId="0" borderId="0">
      <alignment horizontal="left"/>
    </xf>
    <xf numFmtId="0" fontId="26" fillId="0" borderId="0"/>
  </cellStyleXfs>
  <cellXfs count="310">
    <xf numFmtId="0" fontId="0" fillId="0" borderId="0" xfId="0"/>
    <xf numFmtId="0" fontId="0" fillId="0" borderId="0" xfId="0" applyAlignment="1">
      <alignment horizontal="left"/>
    </xf>
    <xf numFmtId="0" fontId="5" fillId="0" borderId="0" xfId="1"/>
    <xf numFmtId="0" fontId="3" fillId="0" borderId="0" xfId="0" applyFont="1"/>
    <xf numFmtId="0" fontId="4" fillId="0" borderId="0" xfId="0" applyFont="1"/>
    <xf numFmtId="0" fontId="3" fillId="0" borderId="0" xfId="0" applyFont="1" applyAlignment="1">
      <alignment horizontal="right"/>
    </xf>
    <xf numFmtId="0" fontId="3" fillId="0" borderId="0" xfId="0" applyFont="1" applyAlignment="1">
      <alignment horizontal="center"/>
    </xf>
    <xf numFmtId="0" fontId="0" fillId="0" borderId="0" xfId="0" applyAlignment="1">
      <alignment horizontal="right"/>
    </xf>
    <xf numFmtId="0" fontId="0" fillId="0" borderId="0" xfId="0" applyAlignment="1">
      <alignment horizontal="center"/>
    </xf>
    <xf numFmtId="0" fontId="6" fillId="0" borderId="0" xfId="0" applyFont="1"/>
    <xf numFmtId="164" fontId="0" fillId="0" borderId="0" xfId="0" applyNumberFormat="1"/>
    <xf numFmtId="1" fontId="0" fillId="0" borderId="0" xfId="0" applyNumberFormat="1"/>
    <xf numFmtId="0" fontId="7" fillId="0" borderId="0" xfId="0" applyFont="1"/>
    <xf numFmtId="0" fontId="8" fillId="0" borderId="0" xfId="0" applyFont="1"/>
    <xf numFmtId="0" fontId="4" fillId="0" borderId="0" xfId="0" applyFont="1" applyAlignment="1">
      <alignment horizontal="right"/>
    </xf>
    <xf numFmtId="0" fontId="9" fillId="0" borderId="0" xfId="0" applyFont="1"/>
    <xf numFmtId="0" fontId="10" fillId="0" borderId="0" xfId="0" applyFont="1"/>
    <xf numFmtId="0" fontId="11" fillId="0" borderId="0" xfId="0" applyFont="1"/>
    <xf numFmtId="9" fontId="0" fillId="0" borderId="0" xfId="2" applyFont="1"/>
    <xf numFmtId="2" fontId="0" fillId="0" borderId="0" xfId="2" applyNumberFormat="1" applyFont="1"/>
    <xf numFmtId="0" fontId="0" fillId="2" borderId="0" xfId="0" applyFill="1"/>
    <xf numFmtId="0" fontId="3" fillId="2" borderId="0" xfId="0" applyFont="1" applyFill="1"/>
    <xf numFmtId="0" fontId="7" fillId="2" borderId="0" xfId="0" applyFont="1" applyFill="1" applyAlignment="1">
      <alignment horizontal="right"/>
    </xf>
    <xf numFmtId="0" fontId="7" fillId="2" borderId="0" xfId="0" applyFont="1" applyFill="1"/>
    <xf numFmtId="0" fontId="0" fillId="3" borderId="0" xfId="0" applyFill="1"/>
    <xf numFmtId="0" fontId="3" fillId="3" borderId="0" xfId="0" applyFont="1" applyFill="1"/>
    <xf numFmtId="0" fontId="0" fillId="3" borderId="0" xfId="0" applyFill="1" applyAlignment="1">
      <alignment horizontal="left"/>
    </xf>
    <xf numFmtId="0" fontId="8" fillId="2" borderId="0" xfId="0" applyFont="1" applyFill="1"/>
    <xf numFmtId="0" fontId="7" fillId="0" borderId="0" xfId="0" applyFont="1" applyAlignment="1">
      <alignment horizontal="right"/>
    </xf>
    <xf numFmtId="0" fontId="7" fillId="0" borderId="0" xfId="0" applyFont="1" applyAlignment="1">
      <alignment horizontal="left"/>
    </xf>
    <xf numFmtId="164" fontId="7" fillId="0" borderId="0" xfId="0" applyNumberFormat="1" applyFont="1"/>
    <xf numFmtId="0" fontId="11" fillId="2" borderId="0" xfId="0" applyFont="1" applyFill="1"/>
    <xf numFmtId="0" fontId="9" fillId="2" borderId="0" xfId="0" applyFont="1" applyFill="1"/>
    <xf numFmtId="0" fontId="10" fillId="2" borderId="0" xfId="0" applyFont="1" applyFill="1"/>
    <xf numFmtId="0" fontId="4" fillId="2" borderId="0" xfId="0" applyFont="1" applyFill="1"/>
    <xf numFmtId="164" fontId="0" fillId="3" borderId="0" xfId="0" applyNumberFormat="1" applyFill="1"/>
    <xf numFmtId="0" fontId="0" fillId="2" borderId="0" xfId="0" applyFill="1" applyAlignment="1">
      <alignment horizontal="right"/>
    </xf>
    <xf numFmtId="0" fontId="0" fillId="2" borderId="0" xfId="0" applyFill="1" applyAlignment="1">
      <alignment horizontal="left"/>
    </xf>
    <xf numFmtId="0" fontId="8" fillId="2" borderId="0" xfId="0" applyFont="1" applyFill="1" applyAlignment="1">
      <alignment horizontal="right"/>
    </xf>
    <xf numFmtId="0" fontId="12" fillId="2" borderId="0" xfId="0" applyFont="1" applyFill="1" applyAlignment="1">
      <alignment horizontal="right"/>
    </xf>
    <xf numFmtId="0" fontId="15" fillId="2" borderId="0" xfId="0" applyFont="1" applyFill="1"/>
    <xf numFmtId="0" fontId="16" fillId="2" borderId="0" xfId="0" applyFont="1" applyFill="1"/>
    <xf numFmtId="0" fontId="17" fillId="2" borderId="0" xfId="0" applyFont="1" applyFill="1"/>
    <xf numFmtId="0" fontId="18" fillId="2" borderId="0" xfId="0" applyFont="1" applyFill="1"/>
    <xf numFmtId="0" fontId="19" fillId="2" borderId="0" xfId="0" applyFont="1" applyFill="1"/>
    <xf numFmtId="0" fontId="20" fillId="2" borderId="0" xfId="0" applyFont="1" applyFill="1"/>
    <xf numFmtId="0" fontId="21" fillId="2" borderId="0" xfId="0" applyFont="1" applyFill="1"/>
    <xf numFmtId="0" fontId="22" fillId="2" borderId="0" xfId="0" applyFont="1" applyFill="1"/>
    <xf numFmtId="0" fontId="23" fillId="2" borderId="0" xfId="0" applyFont="1" applyFill="1"/>
    <xf numFmtId="0" fontId="24" fillId="2" borderId="0" xfId="0" applyFont="1" applyFill="1"/>
    <xf numFmtId="0" fontId="19" fillId="3" borderId="0" xfId="0" applyFont="1" applyFill="1"/>
    <xf numFmtId="0" fontId="20" fillId="3" borderId="0" xfId="0" applyFont="1" applyFill="1"/>
    <xf numFmtId="0" fontId="17" fillId="3" borderId="0" xfId="0" applyFont="1" applyFill="1"/>
    <xf numFmtId="0" fontId="23" fillId="3" borderId="0" xfId="0" applyFont="1" applyFill="1"/>
    <xf numFmtId="0" fontId="27" fillId="0" borderId="0" xfId="4" applyFont="1"/>
    <xf numFmtId="0" fontId="28" fillId="0" borderId="0" xfId="4" applyFont="1"/>
    <xf numFmtId="0" fontId="29" fillId="0" borderId="0" xfId="4" applyFont="1"/>
    <xf numFmtId="0" fontId="29" fillId="0" borderId="1" xfId="4" applyFont="1" applyBorder="1" applyAlignment="1">
      <alignment vertical="top" wrapText="1"/>
    </xf>
    <xf numFmtId="0" fontId="29" fillId="0" borderId="2" xfId="4" applyFont="1" applyBorder="1" applyAlignment="1">
      <alignment vertical="top" wrapText="1"/>
    </xf>
    <xf numFmtId="0" fontId="29" fillId="0" borderId="3" xfId="4" applyFont="1" applyBorder="1" applyAlignment="1">
      <alignment vertical="top"/>
    </xf>
    <xf numFmtId="1" fontId="29" fillId="0" borderId="4" xfId="4" applyNumberFormat="1" applyFont="1" applyBorder="1" applyAlignment="1">
      <alignment vertical="top" wrapText="1"/>
    </xf>
    <xf numFmtId="0" fontId="29" fillId="0" borderId="2" xfId="4" applyFont="1" applyBorder="1" applyAlignment="1">
      <alignment vertical="top"/>
    </xf>
    <xf numFmtId="0" fontId="29" fillId="0" borderId="4" xfId="4" applyFont="1" applyBorder="1" applyAlignment="1">
      <alignment vertical="top" wrapText="1"/>
    </xf>
    <xf numFmtId="0" fontId="29" fillId="0" borderId="5" xfId="4" applyFont="1" applyBorder="1" applyAlignment="1">
      <alignment vertical="top" wrapText="1"/>
    </xf>
    <xf numFmtId="1" fontId="29" fillId="0" borderId="1" xfId="4" applyNumberFormat="1" applyFont="1" applyBorder="1" applyAlignment="1">
      <alignment horizontal="right" wrapText="1"/>
    </xf>
    <xf numFmtId="0" fontId="29" fillId="0" borderId="3" xfId="4" applyFont="1" applyBorder="1" applyAlignment="1">
      <alignment vertical="top" wrapText="1"/>
    </xf>
    <xf numFmtId="1" fontId="29" fillId="0" borderId="1" xfId="4" applyNumberFormat="1" applyFont="1" applyBorder="1" applyAlignment="1">
      <alignment vertical="top" wrapText="1"/>
    </xf>
    <xf numFmtId="0" fontId="29" fillId="0" borderId="4" xfId="4" applyFont="1" applyBorder="1"/>
    <xf numFmtId="1" fontId="29" fillId="0" borderId="4" xfId="4" applyNumberFormat="1" applyFont="1" applyBorder="1" applyAlignment="1">
      <alignment horizontal="right" wrapText="1"/>
    </xf>
    <xf numFmtId="0" fontId="29" fillId="0" borderId="0" xfId="4" applyFont="1" applyAlignment="1">
      <alignment vertical="top"/>
    </xf>
    <xf numFmtId="0" fontId="29" fillId="0" borderId="2" xfId="4" applyFont="1" applyBorder="1"/>
    <xf numFmtId="1" fontId="29" fillId="0" borderId="2" xfId="4" applyNumberFormat="1" applyFont="1" applyBorder="1" applyAlignment="1">
      <alignment horizontal="right" wrapText="1"/>
    </xf>
    <xf numFmtId="0" fontId="30" fillId="0" borderId="1" xfId="4" applyFont="1" applyBorder="1" applyAlignment="1">
      <alignment vertical="top" wrapText="1"/>
    </xf>
    <xf numFmtId="0" fontId="29" fillId="0" borderId="3" xfId="4" applyFont="1" applyBorder="1"/>
    <xf numFmtId="0" fontId="29" fillId="0" borderId="8" xfId="4" applyFont="1" applyBorder="1" applyAlignment="1">
      <alignment vertical="top" wrapText="1"/>
    </xf>
    <xf numFmtId="0" fontId="30" fillId="0" borderId="11" xfId="4" applyFont="1" applyBorder="1" applyAlignment="1">
      <alignment vertical="top" wrapText="1"/>
    </xf>
    <xf numFmtId="165" fontId="29" fillId="0" borderId="0" xfId="4" applyNumberFormat="1" applyFont="1"/>
    <xf numFmtId="0" fontId="30" fillId="0" borderId="0" xfId="4" applyFont="1"/>
    <xf numFmtId="0" fontId="26" fillId="0" borderId="0" xfId="4"/>
    <xf numFmtId="1" fontId="31" fillId="0" borderId="0" xfId="4" applyNumberFormat="1" applyFont="1"/>
    <xf numFmtId="165" fontId="26" fillId="0" borderId="0" xfId="4" applyNumberFormat="1"/>
    <xf numFmtId="165" fontId="26" fillId="4" borderId="0" xfId="4" applyNumberFormat="1" applyFill="1"/>
    <xf numFmtId="165" fontId="31" fillId="4" borderId="0" xfId="4" applyNumberFormat="1" applyFont="1" applyFill="1"/>
    <xf numFmtId="1" fontId="31" fillId="4" borderId="0" xfId="4" applyNumberFormat="1" applyFont="1" applyFill="1"/>
    <xf numFmtId="0" fontId="26" fillId="4" borderId="0" xfId="4" applyFill="1"/>
    <xf numFmtId="165" fontId="26" fillId="5" borderId="0" xfId="4" applyNumberFormat="1" applyFill="1"/>
    <xf numFmtId="1" fontId="31" fillId="5" borderId="0" xfId="4" applyNumberFormat="1" applyFont="1" applyFill="1"/>
    <xf numFmtId="0" fontId="26" fillId="5" borderId="0" xfId="4" applyFill="1"/>
    <xf numFmtId="0" fontId="25" fillId="0" borderId="0" xfId="4" applyFont="1"/>
    <xf numFmtId="1" fontId="32" fillId="0" borderId="0" xfId="4" applyNumberFormat="1" applyFont="1"/>
    <xf numFmtId="165" fontId="25" fillId="0" borderId="0" xfId="4" applyNumberFormat="1" applyFont="1"/>
    <xf numFmtId="0" fontId="3" fillId="0" borderId="0" xfId="4" applyFont="1"/>
    <xf numFmtId="0" fontId="29" fillId="0" borderId="1" xfId="4" applyFont="1" applyBorder="1"/>
    <xf numFmtId="0" fontId="3" fillId="0" borderId="0" xfId="0" applyFont="1" applyAlignment="1">
      <alignment horizontal="left"/>
    </xf>
    <xf numFmtId="0" fontId="4" fillId="2" borderId="0" xfId="0" applyFont="1" applyFill="1" applyAlignment="1">
      <alignment horizontal="right"/>
    </xf>
    <xf numFmtId="166" fontId="4" fillId="0" borderId="0" xfId="0" applyNumberFormat="1" applyFont="1" applyAlignment="1">
      <alignment horizontal="left"/>
    </xf>
    <xf numFmtId="0" fontId="4" fillId="0" borderId="0" xfId="0" applyFont="1" applyAlignment="1">
      <alignment horizontal="left"/>
    </xf>
    <xf numFmtId="1" fontId="4" fillId="0" borderId="0" xfId="0" applyNumberFormat="1" applyFont="1" applyAlignment="1">
      <alignment horizontal="left"/>
    </xf>
    <xf numFmtId="0" fontId="3" fillId="2" borderId="0" xfId="0" applyFont="1" applyFill="1" applyAlignment="1">
      <alignment horizontal="right"/>
    </xf>
    <xf numFmtId="0" fontId="3" fillId="2" borderId="0" xfId="0" applyFont="1" applyFill="1" applyAlignment="1">
      <alignment horizontal="left"/>
    </xf>
    <xf numFmtId="0" fontId="4" fillId="2" borderId="0" xfId="0" applyFont="1" applyFill="1" applyAlignment="1">
      <alignment horizontal="center"/>
    </xf>
    <xf numFmtId="0" fontId="4" fillId="3" borderId="0" xfId="0" applyFont="1" applyFill="1"/>
    <xf numFmtId="0" fontId="4" fillId="2" borderId="0" xfId="0" applyFont="1" applyFill="1" applyAlignment="1">
      <alignment vertical="top"/>
    </xf>
    <xf numFmtId="0" fontId="4" fillId="2" borderId="0" xfId="0" applyFont="1" applyFill="1" applyAlignment="1">
      <alignment horizontal="left"/>
    </xf>
    <xf numFmtId="0" fontId="4" fillId="0" borderId="0" xfId="0" applyFont="1" applyAlignment="1">
      <alignment horizontal="center"/>
    </xf>
    <xf numFmtId="0" fontId="8" fillId="0" borderId="0" xfId="0" applyFont="1" applyAlignment="1">
      <alignment horizontal="center"/>
    </xf>
    <xf numFmtId="0" fontId="0" fillId="2" borderId="0" xfId="0" applyFill="1" applyAlignment="1">
      <alignment horizontal="center"/>
    </xf>
    <xf numFmtId="0" fontId="4" fillId="3" borderId="0" xfId="0" applyFont="1" applyFill="1" applyAlignment="1">
      <alignment horizontal="center"/>
    </xf>
    <xf numFmtId="0" fontId="8" fillId="2" borderId="0" xfId="0" applyFont="1" applyFill="1" applyAlignment="1">
      <alignment horizontal="center"/>
    </xf>
    <xf numFmtId="164" fontId="4" fillId="2" borderId="0" xfId="0" applyNumberFormat="1" applyFont="1" applyFill="1" applyAlignment="1">
      <alignment horizontal="center"/>
    </xf>
    <xf numFmtId="0" fontId="27" fillId="0" borderId="0" xfId="4" applyFont="1" applyAlignment="1">
      <alignment horizontal="center"/>
    </xf>
    <xf numFmtId="0" fontId="28" fillId="0" borderId="0" xfId="4" applyFont="1" applyAlignment="1">
      <alignment horizontal="center"/>
    </xf>
    <xf numFmtId="165" fontId="27" fillId="0" borderId="0" xfId="4" applyNumberFormat="1" applyFont="1" applyAlignment="1">
      <alignment horizontal="center"/>
    </xf>
    <xf numFmtId="1" fontId="27" fillId="0" borderId="0" xfId="4" applyNumberFormat="1" applyFont="1" applyAlignment="1">
      <alignment horizontal="center"/>
    </xf>
    <xf numFmtId="164" fontId="27" fillId="0" borderId="0" xfId="4" applyNumberFormat="1" applyFont="1" applyAlignment="1">
      <alignment horizontal="center"/>
    </xf>
    <xf numFmtId="0" fontId="0" fillId="3" borderId="0" xfId="0" applyFill="1" applyAlignment="1">
      <alignment horizontal="center"/>
    </xf>
    <xf numFmtId="164" fontId="0" fillId="0" borderId="0" xfId="0" applyNumberFormat="1" applyAlignment="1">
      <alignment horizontal="center"/>
    </xf>
    <xf numFmtId="164" fontId="7" fillId="0" borderId="0" xfId="0" applyNumberFormat="1" applyFont="1" applyAlignment="1">
      <alignment horizontal="center"/>
    </xf>
    <xf numFmtId="0" fontId="4" fillId="6" borderId="0" xfId="0" applyFont="1" applyFill="1"/>
    <xf numFmtId="0" fontId="4" fillId="6" borderId="0" xfId="0" applyFont="1" applyFill="1" applyAlignment="1">
      <alignment horizontal="right"/>
    </xf>
    <xf numFmtId="1" fontId="4" fillId="0" borderId="0" xfId="0" applyNumberFormat="1" applyFont="1" applyAlignment="1">
      <alignment horizontal="center"/>
    </xf>
    <xf numFmtId="165" fontId="4" fillId="3" borderId="0" xfId="0" applyNumberFormat="1" applyFont="1" applyFill="1" applyAlignment="1">
      <alignment horizontal="right"/>
    </xf>
    <xf numFmtId="0" fontId="38" fillId="7" borderId="0" xfId="0" quotePrefix="1" applyFont="1" applyFill="1"/>
    <xf numFmtId="0" fontId="39" fillId="2" borderId="0" xfId="0" applyFont="1" applyFill="1"/>
    <xf numFmtId="0" fontId="3" fillId="2" borderId="12" xfId="0" applyFont="1" applyFill="1" applyBorder="1" applyAlignment="1">
      <alignment horizontal="left"/>
    </xf>
    <xf numFmtId="0" fontId="0" fillId="2" borderId="12" xfId="0" applyFill="1" applyBorder="1" applyAlignment="1">
      <alignment horizontal="center"/>
    </xf>
    <xf numFmtId="0" fontId="3" fillId="2" borderId="13" xfId="0" applyFont="1" applyFill="1" applyBorder="1"/>
    <xf numFmtId="0" fontId="0" fillId="2" borderId="14" xfId="0" applyFill="1" applyBorder="1"/>
    <xf numFmtId="0" fontId="0" fillId="2" borderId="13" xfId="0" applyFill="1" applyBorder="1"/>
    <xf numFmtId="0" fontId="7" fillId="2" borderId="13" xfId="0" applyFont="1" applyFill="1" applyBorder="1"/>
    <xf numFmtId="0" fontId="0" fillId="3" borderId="15" xfId="0" applyFill="1" applyBorder="1"/>
    <xf numFmtId="0" fontId="3" fillId="0" borderId="0" xfId="0" quotePrefix="1" applyFont="1"/>
    <xf numFmtId="0" fontId="3" fillId="0" borderId="0" xfId="0" quotePrefix="1" applyFont="1" applyAlignment="1">
      <alignment horizontal="right"/>
    </xf>
    <xf numFmtId="166" fontId="0" fillId="0" borderId="0" xfId="0" applyNumberFormat="1" applyAlignment="1">
      <alignment horizontal="left"/>
    </xf>
    <xf numFmtId="167" fontId="0" fillId="3" borderId="15" xfId="0" applyNumberFormat="1" applyFill="1" applyBorder="1" applyAlignment="1">
      <alignment horizontal="right"/>
    </xf>
    <xf numFmtId="167" fontId="0" fillId="0" borderId="0" xfId="0" applyNumberFormat="1" applyAlignment="1">
      <alignment horizontal="left"/>
    </xf>
    <xf numFmtId="0" fontId="3" fillId="0" borderId="16" xfId="0" applyFont="1" applyBorder="1" applyAlignment="1">
      <alignment horizontal="right"/>
    </xf>
    <xf numFmtId="0" fontId="0" fillId="0" borderId="10" xfId="0" applyBorder="1"/>
    <xf numFmtId="166" fontId="0" fillId="0" borderId="0" xfId="0" applyNumberFormat="1" applyAlignment="1">
      <alignment horizontal="center"/>
    </xf>
    <xf numFmtId="0" fontId="0" fillId="0" borderId="9" xfId="0" applyBorder="1"/>
    <xf numFmtId="0" fontId="40" fillId="0" borderId="9" xfId="0" applyFont="1" applyBorder="1" applyAlignment="1">
      <alignment horizontal="right"/>
    </xf>
    <xf numFmtId="0" fontId="3" fillId="0" borderId="7" xfId="0" quotePrefix="1" applyFont="1" applyBorder="1" applyAlignment="1">
      <alignment horizontal="right"/>
    </xf>
    <xf numFmtId="0" fontId="3" fillId="0" borderId="6" xfId="0" quotePrefix="1" applyFont="1" applyBorder="1"/>
    <xf numFmtId="0" fontId="39" fillId="2" borderId="0" xfId="0" applyFont="1" applyFill="1" applyAlignment="1">
      <alignment horizontal="center"/>
    </xf>
    <xf numFmtId="0" fontId="4" fillId="0" borderId="18" xfId="0" applyFont="1" applyBorder="1"/>
    <xf numFmtId="0" fontId="4" fillId="0" borderId="18" xfId="0" applyFont="1" applyBorder="1" applyAlignment="1">
      <alignment horizontal="right"/>
    </xf>
    <xf numFmtId="0" fontId="8" fillId="0" borderId="19" xfId="0" applyFont="1" applyBorder="1"/>
    <xf numFmtId="0" fontId="0" fillId="0" borderId="19" xfId="0" applyBorder="1" applyAlignment="1">
      <alignment horizontal="right"/>
    </xf>
    <xf numFmtId="0" fontId="42" fillId="2" borderId="0" xfId="0" applyFont="1" applyFill="1"/>
    <xf numFmtId="0" fontId="0" fillId="3" borderId="21" xfId="0" applyFill="1" applyBorder="1" applyAlignment="1">
      <alignment horizontal="right"/>
    </xf>
    <xf numFmtId="0" fontId="0" fillId="0" borderId="21" xfId="0" applyBorder="1" applyAlignment="1">
      <alignment horizontal="center"/>
    </xf>
    <xf numFmtId="0" fontId="0" fillId="3" borderId="22" xfId="0" applyFill="1" applyBorder="1"/>
    <xf numFmtId="0" fontId="0" fillId="3" borderId="23" xfId="0" applyFill="1" applyBorder="1"/>
    <xf numFmtId="165" fontId="0" fillId="0" borderId="0" xfId="0" applyNumberFormat="1" applyAlignment="1">
      <alignment horizontal="left"/>
    </xf>
    <xf numFmtId="0" fontId="43" fillId="0" borderId="0" xfId="0" applyFont="1" applyAlignment="1">
      <alignment horizontal="right"/>
    </xf>
    <xf numFmtId="168" fontId="0" fillId="0" borderId="0" xfId="0" applyNumberFormat="1" applyAlignment="1">
      <alignment horizontal="left"/>
    </xf>
    <xf numFmtId="0" fontId="3" fillId="0" borderId="22" xfId="0" applyFont="1" applyBorder="1" applyAlignment="1">
      <alignment horizontal="center"/>
    </xf>
    <xf numFmtId="0" fontId="0" fillId="3" borderId="2" xfId="0" applyFill="1" applyBorder="1" applyAlignment="1">
      <alignment horizontal="center"/>
    </xf>
    <xf numFmtId="0" fontId="3" fillId="0" borderId="24" xfId="0" applyFont="1" applyBorder="1"/>
    <xf numFmtId="0" fontId="3" fillId="0" borderId="25" xfId="0" applyFont="1" applyBorder="1"/>
    <xf numFmtId="0" fontId="3" fillId="0" borderId="26" xfId="0" applyFont="1" applyBorder="1" applyAlignment="1">
      <alignment horizontal="center"/>
    </xf>
    <xf numFmtId="0" fontId="3" fillId="0" borderId="27" xfId="0" applyFont="1" applyBorder="1"/>
    <xf numFmtId="0" fontId="3" fillId="0" borderId="28" xfId="0" applyFont="1" applyBorder="1" applyAlignment="1">
      <alignment horizontal="center"/>
    </xf>
    <xf numFmtId="0" fontId="3" fillId="0" borderId="29" xfId="0" applyFont="1" applyBorder="1"/>
    <xf numFmtId="0" fontId="0" fillId="6" borderId="0" xfId="0" applyFill="1" applyAlignment="1">
      <alignment horizontal="center"/>
    </xf>
    <xf numFmtId="0" fontId="7" fillId="0" borderId="6" xfId="0" quotePrefix="1" applyFont="1" applyBorder="1" applyAlignment="1">
      <alignment horizontal="right"/>
    </xf>
    <xf numFmtId="0" fontId="0" fillId="9" borderId="15" xfId="0" applyFill="1" applyBorder="1"/>
    <xf numFmtId="0" fontId="4" fillId="3" borderId="15" xfId="0" applyFont="1" applyFill="1" applyBorder="1"/>
    <xf numFmtId="0" fontId="41" fillId="9" borderId="15" xfId="0" applyFont="1" applyFill="1" applyBorder="1"/>
    <xf numFmtId="0" fontId="45" fillId="9" borderId="15" xfId="0" applyFont="1" applyFill="1" applyBorder="1"/>
    <xf numFmtId="0" fontId="46" fillId="9" borderId="15" xfId="0" applyFont="1" applyFill="1" applyBorder="1"/>
    <xf numFmtId="0" fontId="5" fillId="2" borderId="12" xfId="1" applyFill="1" applyBorder="1"/>
    <xf numFmtId="0" fontId="0" fillId="2" borderId="12" xfId="0" applyFill="1" applyBorder="1"/>
    <xf numFmtId="0" fontId="3" fillId="2" borderId="12" xfId="0" applyFont="1" applyFill="1" applyBorder="1"/>
    <xf numFmtId="0" fontId="0" fillId="6" borderId="30" xfId="0" applyFill="1" applyBorder="1" applyAlignment="1">
      <alignment horizontal="center"/>
    </xf>
    <xf numFmtId="0" fontId="0" fillId="6" borderId="21" xfId="0" applyFill="1" applyBorder="1" applyAlignment="1">
      <alignment horizontal="center"/>
    </xf>
    <xf numFmtId="0" fontId="0" fillId="8" borderId="31" xfId="0" applyFill="1" applyBorder="1" applyAlignment="1">
      <alignment horizontal="center"/>
    </xf>
    <xf numFmtId="0" fontId="0" fillId="8" borderId="32" xfId="0" applyFill="1" applyBorder="1" applyAlignment="1">
      <alignment horizontal="center"/>
    </xf>
    <xf numFmtId="0" fontId="0" fillId="8" borderId="4" xfId="0" applyFill="1" applyBorder="1" applyAlignment="1">
      <alignment horizontal="center"/>
    </xf>
    <xf numFmtId="0" fontId="0" fillId="6" borderId="33" xfId="0" applyFill="1" applyBorder="1" applyAlignment="1">
      <alignment horizontal="center"/>
    </xf>
    <xf numFmtId="0" fontId="0" fillId="6" borderId="34" xfId="0" applyFill="1" applyBorder="1" applyAlignment="1">
      <alignment horizontal="center"/>
    </xf>
    <xf numFmtId="0" fontId="7" fillId="2" borderId="12" xfId="0" applyFont="1" applyFill="1" applyBorder="1" applyAlignment="1">
      <alignment horizontal="right"/>
    </xf>
    <xf numFmtId="0" fontId="7" fillId="2" borderId="12" xfId="0" applyFont="1" applyFill="1" applyBorder="1" applyAlignment="1">
      <alignment horizontal="center"/>
    </xf>
    <xf numFmtId="0" fontId="0" fillId="8" borderId="21" xfId="0" applyFill="1" applyBorder="1" applyAlignment="1">
      <alignment horizontal="center"/>
    </xf>
    <xf numFmtId="0" fontId="0" fillId="2" borderId="35" xfId="0" applyFill="1" applyBorder="1"/>
    <xf numFmtId="0" fontId="0" fillId="3" borderId="30" xfId="0" applyFill="1" applyBorder="1"/>
    <xf numFmtId="0" fontId="0" fillId="3" borderId="30" xfId="0" applyFill="1" applyBorder="1" applyAlignment="1">
      <alignment horizontal="left"/>
    </xf>
    <xf numFmtId="0" fontId="0" fillId="3" borderId="30" xfId="0" applyFill="1" applyBorder="1" applyAlignment="1">
      <alignment horizontal="center"/>
    </xf>
    <xf numFmtId="0" fontId="0" fillId="3" borderId="36" xfId="0" applyFill="1" applyBorder="1"/>
    <xf numFmtId="0" fontId="0" fillId="3" borderId="37" xfId="0" applyFill="1" applyBorder="1"/>
    <xf numFmtId="0" fontId="0" fillId="3" borderId="38" xfId="0" applyFill="1" applyBorder="1"/>
    <xf numFmtId="0" fontId="0" fillId="3" borderId="39" xfId="0" applyFill="1" applyBorder="1"/>
    <xf numFmtId="0" fontId="0" fillId="3" borderId="15" xfId="0" applyFill="1" applyBorder="1" applyAlignment="1">
      <alignment horizontal="left"/>
    </xf>
    <xf numFmtId="0" fontId="3" fillId="0" borderId="0" xfId="1" applyFont="1"/>
    <xf numFmtId="0" fontId="48" fillId="0" borderId="0" xfId="0" applyFont="1"/>
    <xf numFmtId="0" fontId="0" fillId="0" borderId="2" xfId="0" applyBorder="1"/>
    <xf numFmtId="0" fontId="0" fillId="3" borderId="41" xfId="0" applyFill="1" applyBorder="1"/>
    <xf numFmtId="0" fontId="0" fillId="3" borderId="42" xfId="0" applyFill="1" applyBorder="1"/>
    <xf numFmtId="0" fontId="5" fillId="0" borderId="0" xfId="1" applyAlignment="1">
      <alignment horizontal="right"/>
    </xf>
    <xf numFmtId="0" fontId="0" fillId="3" borderId="15" xfId="0" applyFill="1" applyBorder="1" applyAlignment="1">
      <alignment horizontal="center"/>
    </xf>
    <xf numFmtId="0" fontId="4" fillId="0" borderId="0" xfId="4" applyFont="1"/>
    <xf numFmtId="0" fontId="4" fillId="0" borderId="0" xfId="4" applyFont="1" applyAlignment="1">
      <alignment horizontal="center"/>
    </xf>
    <xf numFmtId="0" fontId="49" fillId="0" borderId="0" xfId="4" applyFont="1"/>
    <xf numFmtId="0" fontId="50" fillId="0" borderId="0" xfId="4" applyFont="1"/>
    <xf numFmtId="0" fontId="51" fillId="0" borderId="0" xfId="4" applyFont="1"/>
    <xf numFmtId="0" fontId="52" fillId="0" borderId="0" xfId="4" applyFont="1"/>
    <xf numFmtId="165" fontId="52" fillId="0" borderId="0" xfId="4" applyNumberFormat="1" applyFont="1"/>
    <xf numFmtId="1" fontId="53" fillId="0" borderId="0" xfId="4" applyNumberFormat="1" applyFont="1"/>
    <xf numFmtId="0" fontId="54" fillId="0" borderId="2" xfId="4" applyFont="1" applyBorder="1" applyAlignment="1">
      <alignment vertical="top" wrapText="1"/>
    </xf>
    <xf numFmtId="0" fontId="55" fillId="0" borderId="0" xfId="4" applyFont="1"/>
    <xf numFmtId="0" fontId="56" fillId="0" borderId="0" xfId="0" applyFont="1"/>
    <xf numFmtId="0" fontId="59" fillId="0" borderId="0" xfId="0" applyFont="1"/>
    <xf numFmtId="0" fontId="4" fillId="2" borderId="43" xfId="0" applyFont="1" applyFill="1" applyBorder="1" applyAlignment="1">
      <alignment horizontal="center"/>
    </xf>
    <xf numFmtId="164" fontId="4" fillId="2" borderId="43" xfId="0" applyNumberFormat="1" applyFont="1" applyFill="1" applyBorder="1" applyAlignment="1">
      <alignment horizontal="center"/>
    </xf>
    <xf numFmtId="165" fontId="4" fillId="2" borderId="35" xfId="0" applyNumberFormat="1" applyFont="1" applyFill="1" applyBorder="1" applyAlignment="1">
      <alignment horizontal="center"/>
    </xf>
    <xf numFmtId="0" fontId="4" fillId="2" borderId="35" xfId="0" applyFont="1" applyFill="1" applyBorder="1" applyAlignment="1">
      <alignment horizontal="center"/>
    </xf>
    <xf numFmtId="164" fontId="4" fillId="2" borderId="35" xfId="0" applyNumberFormat="1" applyFont="1" applyFill="1" applyBorder="1" applyAlignment="1">
      <alignment horizontal="center"/>
    </xf>
    <xf numFmtId="0" fontId="4" fillId="2" borderId="44" xfId="0" applyFont="1" applyFill="1" applyBorder="1"/>
    <xf numFmtId="0" fontId="4" fillId="2" borderId="44" xfId="0" applyFont="1" applyFill="1" applyBorder="1" applyAlignment="1">
      <alignment horizontal="center"/>
    </xf>
    <xf numFmtId="0" fontId="4" fillId="2" borderId="35" xfId="0" applyFont="1" applyFill="1" applyBorder="1"/>
    <xf numFmtId="0" fontId="8" fillId="2" borderId="35" xfId="0" applyFont="1" applyFill="1" applyBorder="1"/>
    <xf numFmtId="0" fontId="3" fillId="2" borderId="44" xfId="0" applyFont="1" applyFill="1" applyBorder="1" applyAlignment="1">
      <alignment horizontal="right"/>
    </xf>
    <xf numFmtId="0" fontId="33" fillId="3" borderId="0" xfId="0" applyFont="1" applyFill="1" applyAlignment="1">
      <alignment horizontal="center"/>
    </xf>
    <xf numFmtId="0" fontId="0" fillId="2" borderId="44" xfId="0" applyFill="1" applyBorder="1" applyAlignment="1">
      <alignment horizontal="right"/>
    </xf>
    <xf numFmtId="0" fontId="0" fillId="2" borderId="35" xfId="0" applyFill="1" applyBorder="1" applyAlignment="1">
      <alignment horizontal="center"/>
    </xf>
    <xf numFmtId="0" fontId="0" fillId="3" borderId="40" xfId="0" applyFill="1" applyBorder="1" applyAlignment="1">
      <alignment horizontal="left"/>
    </xf>
    <xf numFmtId="0" fontId="36" fillId="0" borderId="0" xfId="0" applyFont="1" applyAlignment="1">
      <alignment horizontal="left"/>
    </xf>
    <xf numFmtId="0" fontId="40" fillId="0" borderId="0" xfId="0" applyFont="1" applyAlignment="1">
      <alignment horizontal="right"/>
    </xf>
    <xf numFmtId="0" fontId="4" fillId="2" borderId="12" xfId="0" applyFont="1" applyFill="1" applyBorder="1" applyAlignment="1">
      <alignment horizontal="center"/>
    </xf>
    <xf numFmtId="1" fontId="4" fillId="2" borderId="12" xfId="0" applyNumberFormat="1" applyFont="1" applyFill="1" applyBorder="1" applyAlignment="1">
      <alignment horizontal="center"/>
    </xf>
    <xf numFmtId="0" fontId="4" fillId="2" borderId="45" xfId="0" applyFont="1" applyFill="1" applyBorder="1" applyAlignment="1">
      <alignment horizontal="center"/>
    </xf>
    <xf numFmtId="0" fontId="8" fillId="2" borderId="45" xfId="0" applyFont="1" applyFill="1" applyBorder="1" applyAlignment="1">
      <alignment horizontal="center"/>
    </xf>
    <xf numFmtId="0" fontId="4" fillId="2" borderId="46" xfId="0" applyFont="1" applyFill="1" applyBorder="1" applyAlignment="1">
      <alignment horizontal="center"/>
    </xf>
    <xf numFmtId="0" fontId="0" fillId="2" borderId="46" xfId="0" applyFill="1" applyBorder="1" applyAlignment="1">
      <alignment horizontal="center"/>
    </xf>
    <xf numFmtId="0" fontId="4" fillId="2" borderId="47" xfId="0" applyFont="1" applyFill="1" applyBorder="1" applyAlignment="1">
      <alignment horizontal="center"/>
    </xf>
    <xf numFmtId="0" fontId="0" fillId="2" borderId="47" xfId="0" applyFill="1" applyBorder="1" applyAlignment="1">
      <alignment horizontal="center"/>
    </xf>
    <xf numFmtId="0" fontId="4" fillId="3" borderId="2" xfId="0" applyFont="1" applyFill="1" applyBorder="1" applyAlignment="1">
      <alignment horizontal="center"/>
    </xf>
    <xf numFmtId="0" fontId="0" fillId="2" borderId="43" xfId="0" applyFill="1" applyBorder="1" applyAlignment="1">
      <alignment horizontal="center"/>
    </xf>
    <xf numFmtId="0" fontId="48" fillId="0" borderId="0" xfId="0" applyFont="1" applyAlignment="1">
      <alignment horizontal="left"/>
    </xf>
    <xf numFmtId="0" fontId="48" fillId="2" borderId="0" xfId="0" applyFont="1" applyFill="1"/>
    <xf numFmtId="0" fontId="60" fillId="2" borderId="12" xfId="0" applyFont="1" applyFill="1" applyBorder="1"/>
    <xf numFmtId="0" fontId="48" fillId="2" borderId="35" xfId="0" applyFont="1" applyFill="1" applyBorder="1"/>
    <xf numFmtId="0" fontId="60" fillId="2" borderId="13" xfId="0" applyFont="1" applyFill="1" applyBorder="1"/>
    <xf numFmtId="0" fontId="4" fillId="0" borderId="6" xfId="0" applyFont="1" applyBorder="1"/>
    <xf numFmtId="0" fontId="0" fillId="0" borderId="6" xfId="0" applyBorder="1"/>
    <xf numFmtId="0" fontId="0" fillId="3" borderId="6" xfId="0" applyFill="1" applyBorder="1"/>
    <xf numFmtId="0" fontId="4" fillId="10" borderId="48" xfId="0" applyFont="1" applyFill="1" applyBorder="1"/>
    <xf numFmtId="0" fontId="0" fillId="10" borderId="48" xfId="0" applyFill="1" applyBorder="1"/>
    <xf numFmtId="0" fontId="3" fillId="0" borderId="48" xfId="0" applyFont="1" applyBorder="1"/>
    <xf numFmtId="0" fontId="0" fillId="0" borderId="48" xfId="0" applyBorder="1"/>
    <xf numFmtId="0" fontId="3" fillId="10" borderId="49" xfId="0" applyFont="1" applyFill="1" applyBorder="1" applyAlignment="1">
      <alignment horizontal="right"/>
    </xf>
    <xf numFmtId="0" fontId="4" fillId="10" borderId="50" xfId="0" applyFont="1" applyFill="1" applyBorder="1"/>
    <xf numFmtId="0" fontId="3" fillId="3" borderId="51" xfId="0" applyFont="1" applyFill="1" applyBorder="1"/>
    <xf numFmtId="0" fontId="37" fillId="0" borderId="0" xfId="0" applyFont="1"/>
    <xf numFmtId="0" fontId="4" fillId="0" borderId="18" xfId="0" applyFont="1" applyBorder="1" applyAlignment="1">
      <alignment horizontal="center"/>
    </xf>
    <xf numFmtId="0" fontId="8" fillId="0" borderId="19" xfId="0" applyFont="1" applyBorder="1" applyAlignment="1">
      <alignment horizontal="center"/>
    </xf>
    <xf numFmtId="0" fontId="4" fillId="6" borderId="6" xfId="0" applyFont="1" applyFill="1" applyBorder="1"/>
    <xf numFmtId="165" fontId="4" fillId="3" borderId="6" xfId="0" applyNumberFormat="1" applyFont="1" applyFill="1" applyBorder="1" applyAlignment="1">
      <alignment horizontal="right"/>
    </xf>
    <xf numFmtId="0" fontId="4" fillId="0" borderId="6" xfId="0" applyFont="1" applyBorder="1" applyAlignment="1">
      <alignment horizontal="center"/>
    </xf>
    <xf numFmtId="0" fontId="40" fillId="0" borderId="0" xfId="0" applyFont="1"/>
    <xf numFmtId="165" fontId="4" fillId="2" borderId="47" xfId="0" applyNumberFormat="1" applyFont="1" applyFill="1" applyBorder="1" applyAlignment="1">
      <alignment horizontal="center"/>
    </xf>
    <xf numFmtId="165" fontId="4" fillId="2" borderId="12" xfId="0" applyNumberFormat="1" applyFont="1" applyFill="1" applyBorder="1" applyAlignment="1">
      <alignment horizontal="center"/>
    </xf>
    <xf numFmtId="165" fontId="4" fillId="3" borderId="52" xfId="0" applyNumberFormat="1" applyFont="1" applyFill="1" applyBorder="1" applyAlignment="1">
      <alignment horizontal="center"/>
    </xf>
    <xf numFmtId="165" fontId="4" fillId="3" borderId="53" xfId="0" applyNumberFormat="1" applyFont="1" applyFill="1" applyBorder="1" applyAlignment="1">
      <alignment horizontal="center"/>
    </xf>
    <xf numFmtId="165" fontId="4" fillId="3" borderId="54" xfId="0" applyNumberFormat="1" applyFont="1" applyFill="1" applyBorder="1" applyAlignment="1">
      <alignment horizontal="center"/>
    </xf>
    <xf numFmtId="0" fontId="4" fillId="3" borderId="55" xfId="0" applyFont="1" applyFill="1" applyBorder="1" applyAlignment="1">
      <alignment horizontal="center"/>
    </xf>
    <xf numFmtId="0" fontId="4" fillId="3" borderId="23" xfId="0" applyFont="1" applyFill="1" applyBorder="1" applyAlignment="1">
      <alignment horizontal="center"/>
    </xf>
    <xf numFmtId="0" fontId="4" fillId="3" borderId="56" xfId="0" applyFont="1" applyFill="1" applyBorder="1" applyAlignment="1">
      <alignment horizontal="center"/>
    </xf>
    <xf numFmtId="0" fontId="4" fillId="3" borderId="36" xfId="0" applyFont="1" applyFill="1" applyBorder="1" applyAlignment="1">
      <alignment horizontal="center"/>
    </xf>
    <xf numFmtId="0" fontId="4" fillId="3" borderId="57" xfId="0" applyFont="1" applyFill="1" applyBorder="1" applyAlignment="1">
      <alignment horizontal="center"/>
    </xf>
    <xf numFmtId="0" fontId="4" fillId="3" borderId="58" xfId="0" applyFont="1" applyFill="1" applyBorder="1" applyAlignment="1">
      <alignment horizontal="center"/>
    </xf>
    <xf numFmtId="165" fontId="4" fillId="3" borderId="59" xfId="0" applyNumberFormat="1" applyFont="1" applyFill="1" applyBorder="1"/>
    <xf numFmtId="165" fontId="4" fillId="3" borderId="60" xfId="0" applyNumberFormat="1" applyFont="1" applyFill="1" applyBorder="1"/>
    <xf numFmtId="0" fontId="4" fillId="3" borderId="59" xfId="0" applyFont="1" applyFill="1" applyBorder="1"/>
    <xf numFmtId="0" fontId="4" fillId="3" borderId="60" xfId="0" applyFont="1" applyFill="1" applyBorder="1"/>
    <xf numFmtId="0" fontId="3" fillId="0" borderId="5" xfId="0" applyFont="1" applyBorder="1" applyAlignment="1">
      <alignment horizontal="left"/>
    </xf>
    <xf numFmtId="1" fontId="0" fillId="0" borderId="17" xfId="0" applyNumberFormat="1" applyBorder="1" applyAlignment="1">
      <alignment horizontal="left"/>
    </xf>
    <xf numFmtId="165" fontId="7" fillId="0" borderId="1" xfId="0" applyNumberFormat="1" applyFont="1" applyBorder="1" applyAlignment="1">
      <alignment horizontal="left"/>
    </xf>
    <xf numFmtId="165" fontId="4" fillId="0" borderId="0" xfId="0" applyNumberFormat="1" applyFont="1" applyAlignment="1">
      <alignment horizontal="left"/>
    </xf>
    <xf numFmtId="0" fontId="3" fillId="2" borderId="0" xfId="0" applyFont="1" applyFill="1" applyAlignment="1">
      <alignment horizontal="center"/>
    </xf>
    <xf numFmtId="0" fontId="42" fillId="3" borderId="20" xfId="0" applyFont="1" applyFill="1" applyBorder="1" applyAlignment="1">
      <alignment horizontal="left"/>
    </xf>
    <xf numFmtId="165" fontId="41" fillId="0" borderId="11" xfId="0" applyNumberFormat="1" applyFont="1" applyBorder="1" applyAlignment="1">
      <alignment horizontal="center"/>
    </xf>
    <xf numFmtId="165" fontId="41" fillId="0" borderId="3" xfId="0" applyNumberFormat="1" applyFont="1" applyBorder="1" applyAlignment="1">
      <alignment horizontal="center"/>
    </xf>
    <xf numFmtId="0" fontId="62" fillId="0" borderId="2" xfId="0" applyFont="1" applyBorder="1" applyAlignment="1">
      <alignment horizontal="left"/>
    </xf>
    <xf numFmtId="0" fontId="61" fillId="3" borderId="30" xfId="0" applyFont="1" applyFill="1" applyBorder="1"/>
    <xf numFmtId="0" fontId="0" fillId="2" borderId="61" xfId="0" applyFill="1" applyBorder="1"/>
    <xf numFmtId="0" fontId="0" fillId="2" borderId="62" xfId="0" applyFill="1" applyBorder="1"/>
    <xf numFmtId="0" fontId="0" fillId="2" borderId="63" xfId="0" applyFill="1" applyBorder="1"/>
    <xf numFmtId="0" fontId="0" fillId="2" borderId="64" xfId="0" applyFill="1" applyBorder="1"/>
    <xf numFmtId="0" fontId="0" fillId="2" borderId="65" xfId="0" applyFill="1" applyBorder="1"/>
    <xf numFmtId="0" fontId="0" fillId="2" borderId="66" xfId="0" applyFill="1" applyBorder="1"/>
    <xf numFmtId="0" fontId="0" fillId="2" borderId="67" xfId="0" applyFill="1" applyBorder="1"/>
    <xf numFmtId="0" fontId="0" fillId="2" borderId="68" xfId="0" applyFill="1" applyBorder="1"/>
    <xf numFmtId="0" fontId="0" fillId="2" borderId="69" xfId="0" applyFill="1" applyBorder="1" applyAlignment="1">
      <alignment horizontal="right"/>
    </xf>
    <xf numFmtId="0" fontId="0" fillId="2" borderId="14" xfId="0" applyFill="1" applyBorder="1" applyAlignment="1">
      <alignment horizontal="right"/>
    </xf>
    <xf numFmtId="0" fontId="0" fillId="2" borderId="70" xfId="0" applyFill="1" applyBorder="1" applyAlignment="1">
      <alignment horizontal="right"/>
    </xf>
    <xf numFmtId="0" fontId="0" fillId="2" borderId="71" xfId="0" applyFill="1" applyBorder="1" applyAlignment="1">
      <alignment horizontal="left"/>
    </xf>
    <xf numFmtId="0" fontId="0" fillId="2" borderId="13" xfId="0" applyFill="1" applyBorder="1" applyAlignment="1">
      <alignment horizontal="right"/>
    </xf>
    <xf numFmtId="0" fontId="0" fillId="2" borderId="72" xfId="0" applyFill="1" applyBorder="1" applyAlignment="1">
      <alignment horizontal="right"/>
    </xf>
    <xf numFmtId="0" fontId="65" fillId="2" borderId="35" xfId="0" applyFont="1" applyFill="1" applyBorder="1"/>
    <xf numFmtId="0" fontId="65" fillId="2" borderId="67" xfId="0" applyFont="1" applyFill="1" applyBorder="1"/>
    <xf numFmtId="0" fontId="0" fillId="2" borderId="73" xfId="0" applyFill="1" applyBorder="1"/>
    <xf numFmtId="0" fontId="5" fillId="0" borderId="0" xfId="1" applyAlignment="1">
      <alignment horizontal="left"/>
    </xf>
    <xf numFmtId="0" fontId="30" fillId="0" borderId="10" xfId="4" applyFont="1" applyBorder="1" applyAlignment="1">
      <alignment vertical="top" wrapText="1"/>
    </xf>
    <xf numFmtId="0" fontId="29" fillId="0" borderId="9" xfId="4" applyFont="1" applyBorder="1"/>
    <xf numFmtId="0" fontId="29" fillId="0" borderId="5" xfId="4" applyFont="1" applyBorder="1"/>
    <xf numFmtId="0" fontId="29" fillId="0" borderId="7" xfId="4" applyFont="1" applyBorder="1" applyAlignment="1">
      <alignment vertical="top" wrapText="1"/>
    </xf>
    <xf numFmtId="0" fontId="29" fillId="0" borderId="6" xfId="4" applyFont="1" applyBorder="1"/>
    <xf numFmtId="0" fontId="29" fillId="0" borderId="1" xfId="4" applyFont="1" applyBorder="1"/>
    <xf numFmtId="0" fontId="0" fillId="2" borderId="0" xfId="0" applyFont="1" applyFill="1"/>
  </cellXfs>
  <cellStyles count="5">
    <cellStyle name="Headings" xfId="1" xr:uid="{00000000-0005-0000-0000-000000000000}"/>
    <cellStyle name="Normal" xfId="0" builtinId="0"/>
    <cellStyle name="Normal 2" xfId="4" xr:uid="{46A02363-6CCF-4C15-B1DE-DC18E0AC20D1}"/>
    <cellStyle name="Percent" xfId="2" builtinId="5"/>
    <cellStyle name="Pink Headings" xfId="3" xr:uid="{00000000-0005-0000-0000-000003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66FF66"/>
      <color rgb="FF33CC33"/>
      <color rgb="FF969696"/>
      <color rgb="FFF9C507"/>
      <color rgb="FFFDEB03"/>
      <color rgb="FFFFFF00"/>
      <color rgb="FFDDDDDD"/>
      <color rgb="FF9828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comments" Target="../comments8.xml"/><Relationship Id="rId5" Type="http://schemas.openxmlformats.org/officeDocument/2006/relationships/vmlDrawing" Target="../drawings/vmlDrawing8.vml"/><Relationship Id="rId4"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7E158-725C-4A7E-BA85-5A82A2D01DF8}">
  <dimension ref="A1:Z124"/>
  <sheetViews>
    <sheetView tabSelected="1" zoomScaleNormal="100" workbookViewId="0">
      <selection activeCell="C3" sqref="C3"/>
    </sheetView>
  </sheetViews>
  <sheetFormatPr defaultRowHeight="15.75" x14ac:dyDescent="0.25"/>
  <cols>
    <col min="2" max="2" width="8.125" customWidth="1"/>
    <col min="3" max="3" width="9.625" customWidth="1"/>
    <col min="4" max="4" width="6.5" customWidth="1"/>
    <col min="6" max="6" width="7.125" customWidth="1"/>
    <col min="7" max="7" width="12" customWidth="1"/>
    <col min="8" max="8" width="9" customWidth="1"/>
    <col min="9" max="9" width="11.5" customWidth="1"/>
    <col min="18" max="18" width="43" customWidth="1"/>
  </cols>
  <sheetData>
    <row r="1" spans="1:26" ht="30" x14ac:dyDescent="0.4">
      <c r="A1" s="210" t="s">
        <v>1198</v>
      </c>
      <c r="G1" s="3" t="s">
        <v>0</v>
      </c>
      <c r="H1">
        <v>611000</v>
      </c>
      <c r="J1" s="20"/>
      <c r="K1" s="21"/>
      <c r="L1" s="20"/>
      <c r="M1" s="20"/>
      <c r="N1" s="20"/>
      <c r="O1" s="20"/>
      <c r="P1" s="20"/>
      <c r="Q1" s="20"/>
      <c r="R1" s="20"/>
      <c r="S1" s="20"/>
      <c r="T1" s="20"/>
      <c r="U1" s="20"/>
      <c r="V1" s="20"/>
      <c r="W1" s="20"/>
      <c r="X1" s="20"/>
      <c r="Y1" s="20"/>
      <c r="Z1" s="20"/>
    </row>
    <row r="2" spans="1:26" x14ac:dyDescent="0.25">
      <c r="J2" s="20"/>
      <c r="K2" s="20"/>
      <c r="L2" s="20"/>
      <c r="M2" s="20"/>
      <c r="N2" s="20"/>
      <c r="O2" s="20"/>
      <c r="P2" s="20"/>
      <c r="Q2" s="20"/>
      <c r="R2" s="20"/>
      <c r="S2" s="20"/>
      <c r="T2" s="20"/>
      <c r="U2" s="20"/>
      <c r="V2" s="20"/>
      <c r="W2" s="20"/>
      <c r="X2" s="20"/>
      <c r="Y2" s="20"/>
      <c r="Z2" s="20"/>
    </row>
    <row r="3" spans="1:26" x14ac:dyDescent="0.25">
      <c r="A3" s="3" t="s">
        <v>1</v>
      </c>
      <c r="C3" s="25" t="s">
        <v>2</v>
      </c>
      <c r="G3" s="3" t="s">
        <v>3</v>
      </c>
      <c r="H3" s="130" t="s">
        <v>4</v>
      </c>
      <c r="J3" s="20"/>
      <c r="K3" s="20"/>
      <c r="L3" s="20"/>
      <c r="M3" s="20"/>
      <c r="N3" s="20"/>
      <c r="O3" s="20"/>
      <c r="P3" s="20"/>
      <c r="Q3" s="20"/>
      <c r="R3" s="20"/>
      <c r="S3" s="20"/>
      <c r="T3" s="20"/>
      <c r="U3" s="20"/>
      <c r="V3" s="20"/>
      <c r="W3" s="20"/>
      <c r="X3" s="20"/>
      <c r="Y3" s="20"/>
      <c r="Z3" s="20"/>
    </row>
    <row r="4" spans="1:26" x14ac:dyDescent="0.25">
      <c r="A4" s="3"/>
      <c r="E4" s="3"/>
      <c r="G4" s="3" t="s">
        <v>8</v>
      </c>
      <c r="H4" s="130" t="s">
        <v>9</v>
      </c>
      <c r="J4" s="20"/>
      <c r="K4" s="20"/>
      <c r="L4" s="20"/>
      <c r="M4" s="20"/>
      <c r="N4" s="20"/>
      <c r="O4" s="20"/>
      <c r="P4" s="20"/>
      <c r="Q4" s="20"/>
      <c r="R4" s="20"/>
      <c r="S4" s="20"/>
      <c r="T4" s="20"/>
      <c r="U4" s="20"/>
      <c r="V4" s="20"/>
      <c r="W4" s="20"/>
      <c r="X4" s="20"/>
      <c r="Y4" s="20"/>
      <c r="Z4" s="20"/>
    </row>
    <row r="5" spans="1:26" x14ac:dyDescent="0.25">
      <c r="A5" s="3" t="s">
        <v>11</v>
      </c>
      <c r="C5" s="130" t="s">
        <v>12</v>
      </c>
      <c r="E5" s="3" t="s">
        <v>13</v>
      </c>
      <c r="F5" s="192" t="s">
        <v>14</v>
      </c>
      <c r="J5" s="20"/>
      <c r="K5" s="20"/>
      <c r="L5" s="20"/>
      <c r="M5" s="20"/>
      <c r="N5" s="20"/>
      <c r="O5" s="20"/>
      <c r="P5" s="20"/>
      <c r="Q5" s="20"/>
      <c r="R5" s="20"/>
      <c r="S5" s="20"/>
      <c r="T5" s="20"/>
      <c r="U5" s="20"/>
      <c r="V5" s="20"/>
      <c r="W5" s="20"/>
      <c r="X5" s="20"/>
      <c r="Y5" s="20"/>
      <c r="Z5" s="20"/>
    </row>
    <row r="6" spans="1:26" x14ac:dyDescent="0.25">
      <c r="A6" s="3" t="s">
        <v>15</v>
      </c>
      <c r="C6" s="130"/>
      <c r="E6" s="3" t="s">
        <v>16</v>
      </c>
      <c r="F6" s="192"/>
      <c r="G6" s="4" t="s">
        <v>17</v>
      </c>
      <c r="J6" s="20"/>
      <c r="K6" s="20"/>
      <c r="L6" s="20"/>
      <c r="M6" s="20"/>
      <c r="N6" s="20"/>
      <c r="O6" s="20"/>
      <c r="P6" s="20"/>
      <c r="Q6" s="20"/>
      <c r="R6" s="20"/>
      <c r="S6" s="20"/>
      <c r="T6" s="20"/>
      <c r="U6" s="20"/>
      <c r="V6" s="20"/>
      <c r="W6" s="20"/>
      <c r="X6" s="20"/>
      <c r="Y6" s="20"/>
      <c r="Z6" s="20"/>
    </row>
    <row r="7" spans="1:26" x14ac:dyDescent="0.25">
      <c r="A7" s="3" t="s">
        <v>1025</v>
      </c>
      <c r="C7" s="130"/>
      <c r="E7" s="193" t="s">
        <v>1026</v>
      </c>
      <c r="F7" s="192"/>
      <c r="J7" s="20"/>
      <c r="K7" s="20"/>
      <c r="L7" s="20"/>
      <c r="M7" s="20"/>
      <c r="N7" s="20"/>
      <c r="O7" s="20"/>
      <c r="P7" s="20"/>
      <c r="Q7" s="20"/>
      <c r="R7" s="20"/>
      <c r="S7" s="20"/>
      <c r="T7" s="20"/>
      <c r="U7" s="20"/>
      <c r="V7" s="20"/>
      <c r="W7" s="20"/>
      <c r="X7" s="20"/>
      <c r="Y7" s="20"/>
      <c r="Z7" s="20"/>
    </row>
    <row r="8" spans="1:26" x14ac:dyDescent="0.25">
      <c r="A8" s="3"/>
      <c r="E8" s="2"/>
      <c r="J8" s="20"/>
      <c r="K8" s="20"/>
      <c r="L8" s="20"/>
      <c r="M8" s="20"/>
      <c r="N8" s="20"/>
      <c r="O8" s="20"/>
      <c r="P8" s="20"/>
      <c r="Q8" s="20"/>
      <c r="R8" s="20"/>
      <c r="S8" s="20"/>
      <c r="T8" s="20"/>
      <c r="U8" s="20"/>
      <c r="V8" s="20"/>
      <c r="W8" s="20"/>
      <c r="X8" s="20"/>
      <c r="Y8" s="20"/>
      <c r="Z8" s="20"/>
    </row>
    <row r="9" spans="1:26" x14ac:dyDescent="0.25">
      <c r="A9" s="3" t="s">
        <v>18</v>
      </c>
      <c r="C9" s="5" t="s">
        <v>19</v>
      </c>
      <c r="F9" s="3" t="s">
        <v>20</v>
      </c>
      <c r="J9" s="20"/>
      <c r="K9" s="20"/>
      <c r="L9" s="20"/>
      <c r="M9" s="20"/>
      <c r="N9" s="20"/>
      <c r="O9" s="20"/>
      <c r="P9" s="20"/>
      <c r="Q9" s="20"/>
      <c r="R9" s="20"/>
      <c r="S9" s="20"/>
      <c r="T9" s="20"/>
      <c r="U9" s="20"/>
      <c r="V9" s="20"/>
      <c r="W9" s="20"/>
      <c r="X9" s="20"/>
      <c r="Y9" s="20"/>
      <c r="Z9" s="20"/>
    </row>
    <row r="10" spans="1:26" x14ac:dyDescent="0.25">
      <c r="F10" s="3" t="s">
        <v>21</v>
      </c>
      <c r="J10" s="20"/>
      <c r="K10" s="20"/>
      <c r="L10" s="20"/>
      <c r="M10" s="20"/>
      <c r="N10" s="20"/>
      <c r="O10" s="20"/>
      <c r="P10" s="20"/>
      <c r="Q10" s="20"/>
      <c r="R10" s="20"/>
      <c r="S10" s="20"/>
      <c r="T10" s="20"/>
      <c r="U10" s="20"/>
      <c r="V10" s="20"/>
      <c r="W10" s="20"/>
      <c r="X10" s="20"/>
      <c r="Y10" s="20"/>
      <c r="Z10" s="20"/>
    </row>
    <row r="11" spans="1:26" x14ac:dyDescent="0.25">
      <c r="A11" s="2" t="s">
        <v>22</v>
      </c>
      <c r="J11" s="20"/>
      <c r="K11" s="20"/>
      <c r="L11" s="20"/>
      <c r="M11" s="20"/>
      <c r="N11" s="20"/>
      <c r="O11" s="20"/>
      <c r="P11" s="20"/>
      <c r="Q11" s="20"/>
      <c r="R11" s="20"/>
      <c r="S11" s="20"/>
      <c r="T11" s="20"/>
      <c r="U11" s="20"/>
      <c r="V11" s="20"/>
      <c r="W11" s="20"/>
      <c r="X11" s="20"/>
      <c r="Y11" s="20"/>
      <c r="Z11" s="20"/>
    </row>
    <row r="12" spans="1:26" x14ac:dyDescent="0.25">
      <c r="A12" s="3" t="s">
        <v>23</v>
      </c>
      <c r="B12">
        <f ca="1">MAX($G$46*INT(6*RAND()+1)+INT(6*RAND()+1)+G41+HLOOKUP(IF(Sex&lt;&gt;"Female","St","St Female"),SMs!$A$4:$BG$35,$G$45,FALSE),1)</f>
        <v>8</v>
      </c>
      <c r="C12" s="3" t="s">
        <v>24</v>
      </c>
      <c r="D12">
        <f ca="1">MAX($G$46*INT(6*RAND()+1)+INT(6*RAND()+1)+INT(6*RAND()+1)+INT(6*RAND()+1)+HLOOKUP(C12,SMs!$A$4:$BG$35,$G$45,FALSE),1)</f>
        <v>13</v>
      </c>
      <c r="E12" s="3" t="s">
        <v>25</v>
      </c>
      <c r="F12">
        <f ca="1">MAX($G$46*INT($G$47*RAND()+1)+INT($G$47*RAND()+1)+INT($G$47*RAND()+1)+INT($G$47*RAND()+1)+HLOOKUP(E12,SMs!$A$4:$BG$35,$G$45,FALSE),1)</f>
        <v>10</v>
      </c>
      <c r="I12" s="153"/>
      <c r="J12" s="20"/>
      <c r="K12" s="20"/>
      <c r="L12" s="20"/>
      <c r="M12" s="20"/>
      <c r="N12" s="20"/>
      <c r="O12" s="20"/>
      <c r="P12" s="20"/>
      <c r="Q12" s="20"/>
      <c r="R12" s="20"/>
      <c r="S12" s="20"/>
      <c r="T12" s="20"/>
      <c r="U12" s="20"/>
      <c r="V12" s="20"/>
      <c r="W12" s="20"/>
      <c r="X12" s="20"/>
      <c r="Y12" s="20"/>
      <c r="Z12" s="20"/>
    </row>
    <row r="13" spans="1:26" x14ac:dyDescent="0.25">
      <c r="A13" s="3" t="s">
        <v>26</v>
      </c>
      <c r="B13">
        <f ca="1">MAX($G$46*INT(6*RAND()+1)+INT(6*RAND()+1)+G42+HLOOKUP(A13,SMs!$A$4:$BG$35,$G$45,FALSE),1)</f>
        <v>8</v>
      </c>
      <c r="C13" s="3" t="s">
        <v>27</v>
      </c>
      <c r="D13">
        <f ca="1">MAX($G$46*INT(6*RAND()+1)+INT(6*RAND()+1)+INT(6*RAND()+1)+INT(6*RAND()+1)+HLOOKUP(C13,SMs!$A$4:$BG$35,$G$45,FALSE),1)</f>
        <v>18</v>
      </c>
      <c r="E13" s="3" t="s">
        <v>28</v>
      </c>
      <c r="F13">
        <f ca="1">MAX($G$46*INT(6*RAND()+1)+INT(6*RAND()+1)+G42+HLOOKUP(E13,SMs!$A$4:$BG$35,$G$45,FALSE),1)</f>
        <v>8</v>
      </c>
      <c r="J13" s="20"/>
      <c r="K13" s="20"/>
      <c r="L13" s="20"/>
      <c r="M13" s="20"/>
      <c r="N13" s="20"/>
      <c r="O13" s="20"/>
      <c r="P13" s="20"/>
      <c r="Q13" s="20"/>
      <c r="R13" s="20"/>
      <c r="S13" s="20"/>
      <c r="T13" s="20"/>
      <c r="U13" s="20"/>
      <c r="V13" s="20"/>
      <c r="W13" s="20"/>
      <c r="X13" s="20"/>
      <c r="Y13" s="20"/>
      <c r="Z13" s="20"/>
    </row>
    <row r="14" spans="1:26" x14ac:dyDescent="0.25">
      <c r="A14" s="3" t="str">
        <f ca="1">IF(G43=G44,"Hd (B)",IF(INT(HLOOKUP("Hd L/R die",SMs!$A$4:$BG$35,$G$45,FALSE)*RAND())+1=1,"Hd (L)","Hd (R)"))</f>
        <v>Hd (R)</v>
      </c>
      <c r="B14">
        <f ca="1">IF(G43=G44,-INT((G43+1)/2),-INT((ABS(G43-G44)+1)/2))</f>
        <v>-2</v>
      </c>
      <c r="C14" s="3" t="s">
        <v>29</v>
      </c>
      <c r="D14">
        <f ca="1">MAX($G$46*INT(6*RAND()+1)+INT(6*RAND()+1)+INT(6*RAND()+1)+INT(6*RAND()+1)+HLOOKUP(C14,SMs!$A$4:$BG$35,$G$45,FALSE),1)</f>
        <v>12</v>
      </c>
      <c r="E14" s="3" t="s">
        <v>30</v>
      </c>
      <c r="F14">
        <f ca="1">MAX($G$46*INT(6*RAND()+1)+INT(6*RAND()+1)+INT(6*RAND()+1)+INT(6*RAND()+1)+HLOOKUP(E14,SMs!$A$4:$BG$35,$G$45,FALSE),1)</f>
        <v>14</v>
      </c>
      <c r="J14" s="20"/>
      <c r="K14" s="20"/>
      <c r="L14" s="20"/>
      <c r="M14" s="20"/>
      <c r="N14" s="20"/>
      <c r="O14" s="20"/>
      <c r="P14" s="20"/>
      <c r="Q14" s="20"/>
      <c r="R14" s="20"/>
      <c r="S14" s="20"/>
      <c r="T14" s="20"/>
      <c r="U14" s="20"/>
      <c r="V14" s="20"/>
      <c r="W14" s="20"/>
      <c r="X14" s="20"/>
      <c r="Y14" s="20"/>
      <c r="Z14" s="20"/>
    </row>
    <row r="15" spans="1:26" x14ac:dyDescent="0.25">
      <c r="A15" s="3" t="s">
        <v>31</v>
      </c>
      <c r="B15">
        <f ca="1">MAX($G$46*INT(6*RAND()+1)+INT(6*RAND()+1)+INT(6*RAND()+1)+INT(6*RAND()+1)+HLOOKUP(IF(Sex&lt;&gt;"Female","Co","Co Female"),SMs!$A$4:$BG$35,$G$45,FALSE),1)</f>
        <v>15</v>
      </c>
      <c r="C15" s="3" t="s">
        <v>32</v>
      </c>
      <c r="D15">
        <f ca="1">MAX($G$46*INT(6*RAND()+1)+INT(6*RAND()+1)+INT(6*RAND()+1)+INT(6*RAND()+1)+HLOOKUP(C15,SMs!$A$4:$BG$35,$G$45,FALSE),1)</f>
        <v>13</v>
      </c>
      <c r="E15" s="3" t="s">
        <v>33</v>
      </c>
      <c r="F15">
        <f ca="1">MAX($G$46*INT(6*RAND()+1)+INT(6*RAND()+1)+INT(6*RAND()+1)+INT(6*RAND()+1)+HLOOKUP(E15,SMs!$A$4:$BG$35,$G$45,FALSE),1)</f>
        <v>13</v>
      </c>
      <c r="G15" s="151">
        <f ca="1">F15+0</f>
        <v>13</v>
      </c>
      <c r="H15" s="156" t="s">
        <v>34</v>
      </c>
      <c r="I15" s="155">
        <f>IF($D$22="Yes",TRUNC(IF(God="SARAN",$H$31*$H$31/25,IF(God="SHELDA",$H$31*$H$31/25,$H$30*$H$30/25)),1),$H$30*$H$30/25)</f>
        <v>16</v>
      </c>
      <c r="J15" s="20"/>
      <c r="K15" s="20"/>
      <c r="L15" s="20"/>
      <c r="M15" s="20"/>
      <c r="N15" s="20"/>
      <c r="O15" s="20"/>
      <c r="P15" s="20"/>
      <c r="Q15" s="20"/>
      <c r="R15" s="20"/>
      <c r="S15" s="20"/>
      <c r="T15" s="20"/>
      <c r="U15" s="20"/>
      <c r="V15" s="20"/>
      <c r="W15" s="20"/>
      <c r="X15" s="20"/>
      <c r="Y15" s="20"/>
      <c r="Z15" s="20"/>
    </row>
    <row r="16" spans="1:26" x14ac:dyDescent="0.25">
      <c r="A16" s="3" t="s">
        <v>35</v>
      </c>
      <c r="B16">
        <f ca="1">MAX(INT(6*RAND()+1)+G41+HLOOKUP(IF(Sex&lt;&gt;"Female","Sz","Sz Female"),SMs!$A$4:$BG$35,$G$45,FALSE),1)</f>
        <v>5</v>
      </c>
      <c r="C16" s="3" t="s">
        <v>36</v>
      </c>
      <c r="D16">
        <f ca="1">MAX($G$46*INT(6*RAND()+1)+INT(6*RAND()+1)+INT(6*RAND()+1)+INT(6*RAND()+1)+HLOOKUP(C16,SMs!$A$4:$BG$35,$G$45,FALSE),1)</f>
        <v>12</v>
      </c>
      <c r="E16" s="3" t="s">
        <v>37</v>
      </c>
      <c r="F16">
        <f ca="1">MAX($G$46*INT(6*RAND()+1)+INT(6*RAND()+1)+INT(6*RAND()+1)+INT(6*RAND()+1)+HLOOKUP(E16,SMs!$A$4:$BG$35,$G$45,FALSE),1)</f>
        <v>14</v>
      </c>
      <c r="G16" s="149">
        <f ca="1">Ft</f>
        <v>14</v>
      </c>
      <c r="H16" s="150" t="s">
        <v>38</v>
      </c>
      <c r="I16" s="152" t="s">
        <v>1023</v>
      </c>
      <c r="J16" s="20"/>
      <c r="K16" s="20"/>
      <c r="L16" s="20"/>
      <c r="M16" s="20"/>
      <c r="N16" s="20"/>
      <c r="O16" s="20"/>
      <c r="P16" s="20"/>
      <c r="Q16" s="20"/>
      <c r="R16" s="20"/>
      <c r="S16" s="20"/>
      <c r="T16" s="20"/>
      <c r="U16" s="20"/>
      <c r="V16" s="20"/>
      <c r="W16" s="20"/>
      <c r="X16" s="20"/>
      <c r="Y16" s="20"/>
      <c r="Z16" s="20"/>
    </row>
    <row r="17" spans="1:26" x14ac:dyDescent="0.25">
      <c r="A17" s="3" t="s">
        <v>39</v>
      </c>
      <c r="B17">
        <f ca="1">AVERAGE(Co,Sz)</f>
        <v>10</v>
      </c>
      <c r="C17" s="3"/>
      <c r="E17" s="3" t="s">
        <v>40</v>
      </c>
      <c r="F17">
        <f ca="1">MAX($G$46*INT(6*RAND()+1)+INT(6*RAND()+1)+INT(6*RAND()+1)+INT(6*RAND()+1)+HLOOKUP(E17,SMs!$A$4:$BG$35,$G$45,FALSE),1)</f>
        <v>21</v>
      </c>
      <c r="J17" s="20"/>
      <c r="K17" s="20"/>
      <c r="L17" s="20"/>
      <c r="M17" s="20"/>
      <c r="N17" s="20"/>
      <c r="O17" s="20"/>
      <c r="P17" s="20"/>
      <c r="Q17" s="20"/>
      <c r="R17" s="20"/>
      <c r="S17" s="20"/>
      <c r="T17" s="20"/>
      <c r="U17" s="20"/>
      <c r="V17" s="20"/>
      <c r="W17" s="20"/>
      <c r="X17" s="20"/>
      <c r="Y17" s="20"/>
      <c r="Z17" s="20"/>
    </row>
    <row r="18" spans="1:26" x14ac:dyDescent="0.25">
      <c r="A18" s="3" t="s">
        <v>41</v>
      </c>
      <c r="B18">
        <f ca="1">IF(AND(Race&lt;&gt;"Orc", Race&lt;&gt;"Sahuagin", Race&lt;&gt;"Uruk-Hai"), MAX($G$46*INT(6*RAND()+1)+INT(6*RAND()+1)+INT(6*RAND()+1)+INT(6*RAND()+1)+HLOOKUP(IF(Sex&lt;&gt;"Female","Bt","Bt Female"),SMs!$A$4:$BG$35,$G$45,FALSE),1), IF(OR(Race="Orc",Race="Uruk-Hai"), IF(Sex&lt;&gt;"Female", INT(6*RAND()+1), INT(8*RAND()+1)), IF(Sex&lt;&gt;"Female", INT(4*RAND()+1), INT(6*RAND()+1)) ))</f>
        <v>18</v>
      </c>
      <c r="C18" s="3" t="s">
        <v>42</v>
      </c>
      <c r="D18">
        <f ca="1">AVERAGE(Co,Wp)</f>
        <v>14</v>
      </c>
      <c r="J18" s="20"/>
      <c r="K18" s="20"/>
      <c r="L18" s="20"/>
      <c r="M18" s="20"/>
      <c r="N18" s="20"/>
      <c r="O18" s="20"/>
      <c r="P18" s="20"/>
      <c r="Q18" s="20"/>
      <c r="R18" s="20"/>
      <c r="S18" s="20"/>
      <c r="T18" s="20"/>
      <c r="U18" s="20"/>
      <c r="V18" s="20"/>
      <c r="W18" s="20"/>
      <c r="X18" s="20"/>
      <c r="Y18" s="20"/>
      <c r="Z18" s="20"/>
    </row>
    <row r="19" spans="1:26" x14ac:dyDescent="0.25">
      <c r="A19" s="3" t="s">
        <v>43</v>
      </c>
      <c r="B19" s="18">
        <f ca="1">INT(1+100*RAND())/100</f>
        <v>0.25</v>
      </c>
      <c r="C19" s="3" t="s">
        <v>44</v>
      </c>
      <c r="D19" s="19">
        <f ca="1">INT(1+100*RAND())/100</f>
        <v>0.71</v>
      </c>
      <c r="J19" s="20"/>
      <c r="K19" s="20"/>
      <c r="L19" s="20"/>
      <c r="M19" s="20"/>
      <c r="N19" s="20"/>
      <c r="O19" s="20"/>
      <c r="P19" s="20"/>
      <c r="Q19" s="20"/>
      <c r="R19" s="20"/>
      <c r="S19" s="20"/>
      <c r="T19" s="20"/>
      <c r="U19" s="20"/>
      <c r="V19" s="20"/>
      <c r="W19" s="20"/>
      <c r="X19" s="20"/>
      <c r="Y19" s="20"/>
      <c r="Z19" s="20"/>
    </row>
    <row r="20" spans="1:26" ht="16.5" thickBot="1" x14ac:dyDescent="0.3">
      <c r="C20" t="s">
        <v>10</v>
      </c>
      <c r="J20" s="20"/>
      <c r="K20" s="20"/>
      <c r="L20" s="20"/>
      <c r="M20" s="20"/>
      <c r="N20" s="20"/>
      <c r="O20" s="20"/>
      <c r="P20" s="20"/>
      <c r="Q20" s="20"/>
      <c r="R20" s="20"/>
      <c r="S20" s="20"/>
      <c r="T20" s="20"/>
      <c r="U20" s="20"/>
      <c r="V20" s="20"/>
      <c r="W20" s="20"/>
      <c r="X20" s="20"/>
      <c r="Y20" s="20"/>
      <c r="Z20" s="20"/>
    </row>
    <row r="21" spans="1:26" x14ac:dyDescent="0.25">
      <c r="A21" s="2" t="s">
        <v>1005</v>
      </c>
      <c r="C21" s="284" t="s">
        <v>1024</v>
      </c>
      <c r="D21" s="185"/>
      <c r="H21" s="158" t="s">
        <v>1007</v>
      </c>
      <c r="I21" s="159"/>
      <c r="J21" s="20"/>
      <c r="K21" s="20"/>
      <c r="L21" s="20"/>
      <c r="M21" s="20"/>
      <c r="N21" s="20"/>
      <c r="O21" s="20"/>
      <c r="P21" s="20"/>
      <c r="Q21" s="20"/>
      <c r="R21" s="20"/>
      <c r="S21" s="20"/>
      <c r="T21" s="20"/>
      <c r="U21" s="20"/>
      <c r="V21" s="20"/>
      <c r="W21" s="20"/>
      <c r="X21" s="20"/>
      <c r="Y21" s="20"/>
      <c r="Z21" s="20"/>
    </row>
    <row r="22" spans="1:26" x14ac:dyDescent="0.25">
      <c r="A22" s="3" t="s">
        <v>46</v>
      </c>
      <c r="B22" s="134">
        <v>7.1</v>
      </c>
      <c r="C22" s="5" t="s">
        <v>1004</v>
      </c>
      <c r="D22" s="186" t="s">
        <v>9</v>
      </c>
      <c r="E22" t="s">
        <v>48</v>
      </c>
      <c r="F22">
        <f ca="1">INT(Bd/2)+$Q$67</f>
        <v>40</v>
      </c>
      <c r="G22" t="str">
        <f ca="1">$G$57</f>
        <v xml:space="preserve"> @ 7 0/3</v>
      </c>
      <c r="H22" s="160">
        <f ca="1">LEFT(RIGHT(G22,3),1)*1+F22</f>
        <v>40</v>
      </c>
      <c r="I22" s="161" t="s">
        <v>48</v>
      </c>
      <c r="J22" s="20"/>
      <c r="K22" s="20"/>
      <c r="L22" s="20"/>
      <c r="M22" s="20"/>
      <c r="N22" s="148"/>
      <c r="O22" s="20"/>
      <c r="P22" s="20"/>
      <c r="Q22" s="20"/>
      <c r="R22" s="20"/>
      <c r="S22" s="20"/>
      <c r="T22" s="20"/>
      <c r="U22" s="20"/>
      <c r="V22" s="20"/>
      <c r="W22" s="20"/>
      <c r="X22" s="20"/>
      <c r="Y22" s="20"/>
      <c r="Z22" s="20"/>
    </row>
    <row r="23" spans="1:26" ht="16.5" thickBot="1" x14ac:dyDescent="0.3">
      <c r="A23" s="3" t="s">
        <v>50</v>
      </c>
      <c r="B23" s="134">
        <v>3.5</v>
      </c>
      <c r="C23" s="6" t="s">
        <v>47</v>
      </c>
      <c r="D23" s="135" t="str">
        <f>IF($D$22="Yes",IF(ClL&gt;=1,(FtL+ClL),"ClL Error"),"n/a")</f>
        <v>n/a</v>
      </c>
      <c r="E23" t="s">
        <v>52</v>
      </c>
      <c r="F23">
        <f ca="1">20+B52+$Q$68</f>
        <v>75</v>
      </c>
      <c r="G23" t="str">
        <f ca="1">$G$58</f>
        <v xml:space="preserve"> @ 9 4/5</v>
      </c>
      <c r="H23" s="162">
        <f ca="1">LEFT(RIGHT(G23,3),1)*1+F23</f>
        <v>79</v>
      </c>
      <c r="I23" s="163" t="s">
        <v>52</v>
      </c>
      <c r="J23" s="20"/>
      <c r="K23" s="20"/>
      <c r="L23" s="20"/>
      <c r="M23" s="20"/>
      <c r="N23" s="20"/>
      <c r="O23" s="20"/>
      <c r="P23" s="20"/>
      <c r="Q23" s="20"/>
      <c r="R23" s="20"/>
      <c r="S23" s="20"/>
      <c r="T23" s="20"/>
      <c r="U23" s="20"/>
      <c r="V23" s="20"/>
      <c r="W23" s="20"/>
      <c r="X23" s="20"/>
      <c r="Y23" s="20"/>
      <c r="Z23" s="20"/>
    </row>
    <row r="24" spans="1:26" x14ac:dyDescent="0.25">
      <c r="A24" s="3" t="s">
        <v>54</v>
      </c>
      <c r="B24" s="134">
        <v>1.5</v>
      </c>
      <c r="E24" s="3" t="s">
        <v>67</v>
      </c>
      <c r="F24" s="11">
        <f ca="1">INT((SUM(B22:B30)*20+ClL*80)*FtGod/20)</f>
        <v>371</v>
      </c>
      <c r="J24" s="20"/>
      <c r="K24" s="20"/>
      <c r="L24" s="20"/>
      <c r="M24" s="20"/>
      <c r="N24" s="20"/>
      <c r="O24" s="20"/>
      <c r="P24" s="20"/>
      <c r="Q24" s="20"/>
      <c r="R24" s="20"/>
      <c r="S24" s="20"/>
      <c r="T24" s="20"/>
      <c r="U24" s="20"/>
      <c r="V24" s="20"/>
      <c r="W24" s="20"/>
      <c r="X24" s="20"/>
      <c r="Y24" s="20"/>
      <c r="Z24" s="20"/>
    </row>
    <row r="25" spans="1:26" x14ac:dyDescent="0.25">
      <c r="A25" s="3" t="s">
        <v>56</v>
      </c>
      <c r="B25" s="134">
        <v>2.2999999999999998</v>
      </c>
      <c r="E25" s="3" t="s">
        <v>55</v>
      </c>
      <c r="F25" s="10">
        <f ca="1">(Mr/2)*MUL</f>
        <v>69.299999999999983</v>
      </c>
      <c r="H25" s="5" t="s">
        <v>49</v>
      </c>
      <c r="I25" s="1">
        <f ca="1">$Q$69</f>
        <v>10</v>
      </c>
      <c r="J25" s="20"/>
      <c r="K25" s="20"/>
      <c r="L25" s="20"/>
      <c r="M25" s="20"/>
      <c r="N25" s="20"/>
      <c r="O25" s="20"/>
      <c r="P25" s="20"/>
      <c r="Q25" s="20"/>
      <c r="R25" s="20"/>
      <c r="S25" s="20"/>
      <c r="T25" s="20"/>
      <c r="U25" s="20"/>
      <c r="V25" s="20"/>
      <c r="W25" s="20"/>
      <c r="X25" s="20"/>
      <c r="Y25" s="20"/>
      <c r="Z25" s="20"/>
    </row>
    <row r="26" spans="1:26" x14ac:dyDescent="0.25">
      <c r="A26" s="3" t="s">
        <v>58</v>
      </c>
      <c r="B26" s="134">
        <v>6.1</v>
      </c>
      <c r="E26" s="3" t="s">
        <v>57</v>
      </c>
      <c r="F26">
        <f>SUM('Druidic Abilities'!G131,'Elementalist Abilities'!$B$24,'Clerical Abilities'!D90)</f>
        <v>61</v>
      </c>
      <c r="J26" s="20"/>
      <c r="K26" s="20"/>
      <c r="L26" s="20"/>
      <c r="M26" s="20"/>
      <c r="N26" s="20"/>
      <c r="O26" s="20"/>
      <c r="P26" s="20"/>
      <c r="Q26" s="20"/>
      <c r="R26" s="20"/>
      <c r="S26" s="20"/>
      <c r="T26" s="20"/>
      <c r="U26" s="20"/>
      <c r="V26" s="20"/>
      <c r="W26" s="20"/>
      <c r="X26" s="20"/>
      <c r="Y26" s="20"/>
      <c r="Z26" s="20"/>
    </row>
    <row r="27" spans="1:26" x14ac:dyDescent="0.25">
      <c r="A27" s="3" t="s">
        <v>53</v>
      </c>
      <c r="B27" s="134">
        <v>0</v>
      </c>
      <c r="C27" s="3"/>
      <c r="E27" s="3" t="s">
        <v>59</v>
      </c>
      <c r="F27" s="10">
        <f ca="1">F25-F26</f>
        <v>8.2999999999999829</v>
      </c>
      <c r="G27" s="5" t="s">
        <v>1001</v>
      </c>
      <c r="H27" t="str">
        <f ca="1">ULT_Mod&amp;" %"</f>
        <v>0 %</v>
      </c>
      <c r="J27" s="20"/>
      <c r="K27" s="20"/>
      <c r="L27" s="20"/>
      <c r="M27" s="20"/>
      <c r="N27" s="20"/>
      <c r="O27" s="20"/>
      <c r="P27" s="20"/>
      <c r="Q27" s="20"/>
      <c r="R27" s="20"/>
      <c r="S27" s="20"/>
      <c r="T27" s="20"/>
      <c r="U27" s="20"/>
      <c r="V27" s="20"/>
      <c r="W27" s="20"/>
      <c r="X27" s="20"/>
      <c r="Y27" s="20"/>
      <c r="Z27" s="20"/>
    </row>
    <row r="28" spans="1:26" x14ac:dyDescent="0.25">
      <c r="A28" s="3" t="s">
        <v>60</v>
      </c>
      <c r="B28" s="134">
        <v>0</v>
      </c>
      <c r="C28" s="3"/>
      <c r="J28" s="20"/>
      <c r="K28" s="20"/>
      <c r="L28" s="20"/>
      <c r="M28" s="20"/>
      <c r="N28" s="20"/>
      <c r="O28" s="20"/>
      <c r="P28" s="20"/>
      <c r="Q28" s="20"/>
      <c r="R28" s="20"/>
      <c r="S28" s="20"/>
      <c r="T28" s="20"/>
      <c r="U28" s="20"/>
      <c r="V28" s="20"/>
      <c r="W28" s="20"/>
      <c r="X28" s="20"/>
      <c r="Y28" s="20"/>
      <c r="Z28" s="20"/>
    </row>
    <row r="29" spans="1:26" x14ac:dyDescent="0.25">
      <c r="A29" s="3" t="s">
        <v>61</v>
      </c>
      <c r="B29" s="134">
        <v>0</v>
      </c>
      <c r="C29" s="6" t="s">
        <v>62</v>
      </c>
      <c r="D29" s="133">
        <f>SUM(B24:B29)</f>
        <v>9.8999999999999986</v>
      </c>
      <c r="E29" s="137"/>
      <c r="F29" s="139"/>
      <c r="G29" s="140" t="str">
        <f>IF($D$22="Yes",IF(God="SARAN","Paladin SL Table",""),"")</f>
        <v/>
      </c>
      <c r="H29" s="275" t="str">
        <f>IF($D$22="Yes",IF(God="SARAN","Effective SL",""),"")</f>
        <v/>
      </c>
      <c r="J29" s="20"/>
      <c r="K29" s="20"/>
      <c r="L29" s="20"/>
      <c r="M29" s="20"/>
      <c r="N29" s="20"/>
      <c r="O29" s="20"/>
      <c r="P29" s="20"/>
      <c r="Q29" s="20"/>
      <c r="R29" s="20"/>
      <c r="S29" s="20"/>
      <c r="T29" s="20"/>
      <c r="U29" s="20"/>
      <c r="V29" s="20"/>
      <c r="W29" s="20"/>
      <c r="X29" s="20"/>
      <c r="Y29" s="20"/>
      <c r="Z29" s="20"/>
    </row>
    <row r="30" spans="1:26" x14ac:dyDescent="0.25">
      <c r="A30" s="3" t="s">
        <v>63</v>
      </c>
      <c r="B30" s="134">
        <v>0</v>
      </c>
      <c r="C30" s="3"/>
      <c r="E30" s="136" t="s">
        <v>64</v>
      </c>
      <c r="F30" s="157">
        <v>0</v>
      </c>
      <c r="G30" s="5" t="str">
        <f>IF($D$22="Yes",IF(God="SARAN","Min SL","SL"),"SL")</f>
        <v>SL</v>
      </c>
      <c r="H30" s="276">
        <f>TRUNC(SUM($B$22:$B$30)+$F$30,0)</f>
        <v>20</v>
      </c>
      <c r="J30" s="20"/>
      <c r="K30" s="20"/>
      <c r="L30" s="20"/>
      <c r="M30" s="20"/>
      <c r="N30" s="20"/>
      <c r="O30" s="20"/>
      <c r="P30" s="20"/>
      <c r="Q30" s="20"/>
      <c r="R30" s="20"/>
      <c r="S30" s="20"/>
      <c r="T30" s="20"/>
      <c r="U30" s="20"/>
      <c r="V30" s="20"/>
      <c r="W30" s="20"/>
      <c r="X30" s="20"/>
      <c r="Y30" s="20"/>
      <c r="Z30" s="20"/>
    </row>
    <row r="31" spans="1:26" x14ac:dyDescent="0.25">
      <c r="E31" s="136" t="str">
        <f>IF($D$22="Yes","PlL +s","")</f>
        <v/>
      </c>
      <c r="F31" s="138" t="str">
        <f>IF($D$22="Yes",IF(God="SARAN",INT(PlL),IF(God="SHELDA",INT(PlL),"")),"")</f>
        <v/>
      </c>
      <c r="G31" s="154" t="str">
        <f>IF($D$22="Yes",IF(God="SARAN","Max SL",IF(God="SHELDA","SL vs Hatred","")),"")</f>
        <v/>
      </c>
      <c r="H31" s="276" t="str">
        <f>IF($D$22="Yes",IF(God="SARAN",H30+INT(PlL),IF(God="SHELDA",H30+INT(PlL),"")),"")</f>
        <v/>
      </c>
      <c r="J31" s="20"/>
      <c r="K31" s="20"/>
      <c r="L31" s="20"/>
      <c r="M31" s="20"/>
      <c r="N31" s="20"/>
      <c r="O31" s="20"/>
      <c r="P31" s="20"/>
      <c r="Q31" s="20"/>
      <c r="R31" s="20"/>
      <c r="S31" s="20"/>
      <c r="T31" s="20"/>
      <c r="U31" s="20"/>
      <c r="V31" s="20"/>
      <c r="W31" s="20"/>
      <c r="X31" s="20"/>
      <c r="Y31" s="20"/>
      <c r="Z31" s="20"/>
    </row>
    <row r="32" spans="1:26" x14ac:dyDescent="0.25">
      <c r="A32" s="3" t="s">
        <v>65</v>
      </c>
      <c r="C32" s="187" t="s">
        <v>66</v>
      </c>
      <c r="E32" s="141"/>
      <c r="F32" s="142"/>
      <c r="G32" s="165" t="str">
        <f>IF($D$22="Yes",IF(God="SARAN"," @Cost of +PlL SPs  Allocated:",""),"")</f>
        <v/>
      </c>
      <c r="H32" s="277" t="str">
        <f>IF($D$22="Yes",IF(God="SARAN","+"&amp;INT(PlL),""),"")</f>
        <v/>
      </c>
      <c r="J32" s="20"/>
      <c r="K32" s="20"/>
      <c r="L32" s="20"/>
      <c r="M32" s="20"/>
      <c r="N32" s="20"/>
      <c r="O32" s="20"/>
      <c r="P32" s="20"/>
      <c r="Q32" s="20"/>
      <c r="R32" s="20"/>
      <c r="S32" s="20"/>
      <c r="T32" s="20"/>
      <c r="U32" s="20"/>
      <c r="V32" s="20"/>
      <c r="W32" s="20"/>
      <c r="X32" s="20"/>
      <c r="Y32" s="20"/>
      <c r="Z32" s="20"/>
    </row>
    <row r="33" spans="1:26" x14ac:dyDescent="0.25">
      <c r="E33" s="132"/>
      <c r="F33" s="131"/>
      <c r="G33" s="3"/>
      <c r="J33" s="20"/>
      <c r="K33" s="20"/>
      <c r="L33" s="20"/>
      <c r="M33" s="20"/>
      <c r="N33" s="20"/>
      <c r="O33" s="20"/>
      <c r="P33" s="20"/>
      <c r="Q33" s="20"/>
      <c r="R33" s="20"/>
      <c r="S33" s="20"/>
      <c r="T33" s="20"/>
      <c r="U33" s="20"/>
      <c r="V33" s="20"/>
      <c r="W33" s="20"/>
      <c r="X33" s="20"/>
      <c r="Y33" s="20"/>
      <c r="Z33" s="20"/>
    </row>
    <row r="34" spans="1:26" x14ac:dyDescent="0.25">
      <c r="A34" s="2" t="s">
        <v>68</v>
      </c>
      <c r="C34" s="188" t="s">
        <v>69</v>
      </c>
      <c r="D34" s="189" t="s">
        <v>10</v>
      </c>
      <c r="E34" s="190" t="s">
        <v>70</v>
      </c>
      <c r="F34" s="188" t="s">
        <v>71</v>
      </c>
      <c r="G34" s="189"/>
      <c r="H34" s="191" t="s">
        <v>72</v>
      </c>
      <c r="J34" s="20"/>
      <c r="K34" s="20"/>
      <c r="L34" s="20"/>
      <c r="M34" s="20"/>
      <c r="N34" s="20"/>
      <c r="O34" s="20"/>
      <c r="P34" s="20"/>
      <c r="Q34" s="20"/>
      <c r="R34" s="20"/>
      <c r="S34" s="20"/>
      <c r="T34" s="20"/>
      <c r="U34" s="20"/>
      <c r="V34" s="20"/>
      <c r="W34" s="20"/>
      <c r="X34" s="20"/>
      <c r="Y34" s="20"/>
      <c r="Z34" s="20"/>
    </row>
    <row r="35" spans="1:26" x14ac:dyDescent="0.25">
      <c r="C35" s="188" t="s">
        <v>73</v>
      </c>
      <c r="D35" s="189"/>
      <c r="E35" s="190" t="s">
        <v>70</v>
      </c>
      <c r="F35" s="188" t="s">
        <v>74</v>
      </c>
      <c r="G35" s="189"/>
      <c r="H35" s="191" t="s">
        <v>75</v>
      </c>
      <c r="J35" s="20"/>
      <c r="K35" s="20"/>
      <c r="L35" s="20"/>
      <c r="M35" s="20"/>
      <c r="N35" s="20"/>
      <c r="O35" s="20"/>
      <c r="P35" s="20"/>
      <c r="Q35" s="20"/>
      <c r="R35" s="20"/>
      <c r="S35" s="20"/>
      <c r="T35" s="20"/>
      <c r="U35" s="20"/>
      <c r="V35" s="20"/>
      <c r="W35" s="20"/>
      <c r="X35" s="20"/>
      <c r="Y35" s="20"/>
      <c r="Z35" s="20"/>
    </row>
    <row r="36" spans="1:26" x14ac:dyDescent="0.25">
      <c r="C36" s="188" t="s">
        <v>76</v>
      </c>
      <c r="D36" s="189"/>
      <c r="E36" s="190" t="s">
        <v>77</v>
      </c>
      <c r="F36" s="188" t="s">
        <v>78</v>
      </c>
      <c r="G36" s="189"/>
      <c r="H36" s="191" t="s">
        <v>77</v>
      </c>
      <c r="J36" s="20"/>
      <c r="K36" s="20"/>
      <c r="L36" s="20"/>
      <c r="M36" s="20"/>
      <c r="N36" s="20"/>
      <c r="O36" s="20"/>
      <c r="P36" s="20"/>
      <c r="Q36" s="20"/>
      <c r="R36" s="20"/>
      <c r="S36" s="20"/>
      <c r="T36" s="20"/>
      <c r="U36" s="20"/>
      <c r="V36" s="20"/>
      <c r="W36" s="20"/>
      <c r="X36" s="20"/>
      <c r="Y36" s="20"/>
      <c r="Z36" s="20"/>
    </row>
    <row r="37" spans="1:26" x14ac:dyDescent="0.25">
      <c r="J37" s="20"/>
      <c r="K37" s="20"/>
      <c r="L37" s="20"/>
      <c r="M37" s="20"/>
      <c r="N37" s="20"/>
      <c r="O37" s="20"/>
      <c r="P37" s="20"/>
      <c r="Q37" s="20"/>
      <c r="R37" s="20"/>
      <c r="S37" s="20"/>
      <c r="T37" s="20"/>
      <c r="U37" s="20"/>
      <c r="V37" s="20"/>
      <c r="W37" s="20"/>
      <c r="X37" s="20"/>
      <c r="Y37" s="20"/>
      <c r="Z37" s="20"/>
    </row>
    <row r="38" spans="1:26" x14ac:dyDescent="0.25">
      <c r="A38" s="171" t="s">
        <v>79</v>
      </c>
      <c r="B38" s="172"/>
      <c r="C38" s="172"/>
      <c r="D38" s="20"/>
      <c r="E38" s="20"/>
      <c r="F38" s="20"/>
      <c r="G38" s="20"/>
      <c r="H38" s="20"/>
      <c r="I38" s="20"/>
      <c r="J38" s="127"/>
      <c r="K38" s="20"/>
      <c r="L38" s="124" t="s">
        <v>1003</v>
      </c>
      <c r="M38" s="125"/>
      <c r="N38" s="125"/>
      <c r="O38" s="20"/>
      <c r="P38" s="20"/>
      <c r="Q38" s="20"/>
      <c r="R38" s="21" t="s">
        <v>1328</v>
      </c>
      <c r="S38" s="21" t="s">
        <v>1402</v>
      </c>
      <c r="T38" s="20"/>
      <c r="U38" s="20"/>
      <c r="V38" s="20"/>
      <c r="W38" s="20"/>
      <c r="X38" s="20"/>
      <c r="Y38" s="20"/>
      <c r="Z38" s="20"/>
    </row>
    <row r="39" spans="1:26" x14ac:dyDescent="0.25">
      <c r="A39" s="173" t="s">
        <v>80</v>
      </c>
      <c r="B39" s="173" t="s">
        <v>81</v>
      </c>
      <c r="C39" s="173" t="s">
        <v>82</v>
      </c>
      <c r="D39" s="123"/>
      <c r="E39" s="20"/>
      <c r="F39" s="20"/>
      <c r="G39" s="20"/>
      <c r="H39" s="20"/>
      <c r="I39" s="126" t="s">
        <v>83</v>
      </c>
      <c r="J39" s="127"/>
      <c r="K39" s="20"/>
      <c r="L39" s="125" t="s">
        <v>5</v>
      </c>
      <c r="M39" s="125" t="s">
        <v>6</v>
      </c>
      <c r="N39" s="125" t="s">
        <v>7</v>
      </c>
      <c r="O39" s="20"/>
      <c r="P39" s="20"/>
      <c r="Q39" s="20"/>
      <c r="R39" s="20" t="s">
        <v>1242</v>
      </c>
      <c r="S39" s="20" t="s">
        <v>1403</v>
      </c>
      <c r="T39" s="20"/>
      <c r="U39" s="20"/>
      <c r="V39" s="20"/>
      <c r="W39" s="20"/>
      <c r="X39" s="20"/>
      <c r="Y39" s="20"/>
      <c r="Z39" s="20"/>
    </row>
    <row r="40" spans="1:26" x14ac:dyDescent="0.25">
      <c r="A40" s="172"/>
      <c r="B40" s="172"/>
      <c r="C40" s="172"/>
      <c r="D40" s="123"/>
      <c r="E40" s="20"/>
      <c r="F40" s="20"/>
      <c r="G40" s="20"/>
      <c r="H40" s="20"/>
      <c r="I40" s="128" t="str">
        <f>SMs!$A$5</f>
        <v>Human, Westerner</v>
      </c>
      <c r="J40" s="127"/>
      <c r="K40" s="20"/>
      <c r="L40" s="125">
        <v>1</v>
      </c>
      <c r="M40" s="125">
        <v>-20</v>
      </c>
      <c r="N40" s="125">
        <v>-10</v>
      </c>
      <c r="O40" s="20"/>
      <c r="P40" s="20"/>
      <c r="Q40" s="20"/>
      <c r="R40" s="20" t="s">
        <v>1264</v>
      </c>
      <c r="S40" s="20" t="s">
        <v>1404</v>
      </c>
      <c r="T40" s="20"/>
      <c r="U40" s="20"/>
      <c r="V40" s="20"/>
      <c r="W40" s="20"/>
      <c r="X40" s="20"/>
      <c r="Y40" s="20"/>
      <c r="Z40" s="20"/>
    </row>
    <row r="41" spans="1:26" x14ac:dyDescent="0.25">
      <c r="A41" s="173" t="s">
        <v>23</v>
      </c>
      <c r="B41" s="125">
        <f ca="1">VLOOKUP(St,$L$40:$N$64,2,FALSE)</f>
        <v>-2</v>
      </c>
      <c r="C41" s="125">
        <f ca="1">VLOOKUP(St,$L$40:$N$64,3,FALSE)</f>
        <v>-1</v>
      </c>
      <c r="D41" s="106"/>
      <c r="E41" s="128" t="s">
        <v>84</v>
      </c>
      <c r="F41" s="184"/>
      <c r="G41" s="125">
        <f ca="1">+INT(6*RAND()+1)+INT(6*RAND()+1)</f>
        <v>4</v>
      </c>
      <c r="H41" s="20"/>
      <c r="I41" s="128" t="str">
        <f>SMs!$A$6</f>
        <v>Human, Norseman</v>
      </c>
      <c r="J41" s="127"/>
      <c r="K41" s="20"/>
      <c r="L41" s="125">
        <v>2</v>
      </c>
      <c r="M41" s="125">
        <v>-10</v>
      </c>
      <c r="N41" s="125">
        <v>-5</v>
      </c>
      <c r="O41" s="20"/>
      <c r="P41" s="20"/>
      <c r="Q41" s="20"/>
      <c r="R41" s="20" t="s">
        <v>1230</v>
      </c>
      <c r="S41" s="20" t="s">
        <v>1406</v>
      </c>
      <c r="T41" s="20"/>
      <c r="U41" s="20"/>
      <c r="V41" s="20"/>
      <c r="W41" s="20"/>
      <c r="X41" s="20"/>
      <c r="Y41" s="20"/>
      <c r="Z41" s="20"/>
    </row>
    <row r="42" spans="1:26" x14ac:dyDescent="0.25">
      <c r="A42" s="173" t="s">
        <v>26</v>
      </c>
      <c r="B42" s="125">
        <f ca="1">VLOOKUP(Dx_Ph+'Fighter Abilities'!$I$7,$L$40:$N$64,2,FALSE)</f>
        <v>-3</v>
      </c>
      <c r="C42" s="125">
        <f ca="1">VLOOKUP(Dx_Ph+'Fighter Abilities'!$I$7,$L$40:$N$64,3,FALSE)</f>
        <v>-1</v>
      </c>
      <c r="D42" s="143"/>
      <c r="E42" s="128" t="s">
        <v>85</v>
      </c>
      <c r="F42" s="184"/>
      <c r="G42" s="125">
        <f ca="1">+INT(6*RAND()+1)+INT(6*RAND()+1)</f>
        <v>3</v>
      </c>
      <c r="H42" s="20"/>
      <c r="I42" s="128" t="str">
        <f>SMs!$A$7</f>
        <v>Human, Forester</v>
      </c>
      <c r="J42" s="127"/>
      <c r="K42" s="20"/>
      <c r="L42" s="125">
        <v>3</v>
      </c>
      <c r="M42" s="125">
        <v>-8</v>
      </c>
      <c r="N42" s="125">
        <v>-4</v>
      </c>
      <c r="O42" s="20"/>
      <c r="P42" s="20"/>
      <c r="Q42" s="20"/>
      <c r="R42" s="20" t="s">
        <v>1238</v>
      </c>
      <c r="S42" s="20" t="s">
        <v>1407</v>
      </c>
      <c r="T42" s="20"/>
      <c r="U42" s="20"/>
      <c r="V42" s="20"/>
      <c r="W42" s="20"/>
      <c r="X42" s="20"/>
      <c r="Y42" s="20"/>
      <c r="Z42" s="20"/>
    </row>
    <row r="43" spans="1:26" x14ac:dyDescent="0.25">
      <c r="A43" s="173" t="s">
        <v>31</v>
      </c>
      <c r="B43" s="125">
        <f ca="1">VLOOKUP(Co,$L$40:$N$64,2,FALSE)</f>
        <v>4</v>
      </c>
      <c r="C43" s="125">
        <f ca="1">VLOOKUP(Co,$L$40:$N$64,3,FALSE)</f>
        <v>2</v>
      </c>
      <c r="D43" s="106"/>
      <c r="E43" s="128" t="s">
        <v>86</v>
      </c>
      <c r="F43" s="184"/>
      <c r="G43" s="125">
        <f ca="1">INT(1+HLOOKUP("Hd die",SMs!$A$4:$BG$35,$G$45,FALSE)*RAND())</f>
        <v>9</v>
      </c>
      <c r="H43" s="20"/>
      <c r="I43" s="128" t="str">
        <f>SMs!$A$8</f>
        <v>Human, Grasslander</v>
      </c>
      <c r="J43" s="127"/>
      <c r="K43" s="20"/>
      <c r="L43" s="125">
        <v>4</v>
      </c>
      <c r="M43" s="125">
        <v>-6</v>
      </c>
      <c r="N43" s="125">
        <v>-3</v>
      </c>
      <c r="O43" s="20"/>
      <c r="P43" s="20"/>
      <c r="Q43" s="20"/>
      <c r="R43" s="20" t="s">
        <v>1401</v>
      </c>
      <c r="S43" s="20" t="s">
        <v>1157</v>
      </c>
      <c r="T43" s="20"/>
      <c r="U43" s="20"/>
      <c r="V43" s="20"/>
      <c r="W43" s="20"/>
      <c r="X43" s="20"/>
      <c r="Y43" s="20"/>
      <c r="Z43" s="20"/>
    </row>
    <row r="44" spans="1:26" x14ac:dyDescent="0.25">
      <c r="A44" s="173" t="s">
        <v>35</v>
      </c>
      <c r="B44" s="125">
        <f ca="1">VLOOKUP(Sz,$L$40:$N$64,2,FALSE)</f>
        <v>-5</v>
      </c>
      <c r="C44" s="125">
        <f ca="1">VLOOKUP(Sz,$L$40:$N$64,3,FALSE)</f>
        <v>-2</v>
      </c>
      <c r="D44" s="106"/>
      <c r="E44" s="128" t="s">
        <v>87</v>
      </c>
      <c r="F44" s="184"/>
      <c r="G44" s="125">
        <f ca="1">INT(1+HLOOKUP("Hd die",SMs!$A$4:$BG$35,$G$45,FALSE)*RAND())</f>
        <v>6</v>
      </c>
      <c r="H44" s="20"/>
      <c r="I44" s="128" t="str">
        <f>SMs!$A$9</f>
        <v>Human, Desert Nomad</v>
      </c>
      <c r="J44" s="127"/>
      <c r="K44" s="20"/>
      <c r="L44" s="125">
        <v>5</v>
      </c>
      <c r="M44" s="125">
        <v>-5</v>
      </c>
      <c r="N44" s="125">
        <v>-2</v>
      </c>
      <c r="O44" s="20"/>
      <c r="P44" s="20"/>
      <c r="Q44" s="20"/>
      <c r="R44" s="20" t="s">
        <v>1265</v>
      </c>
      <c r="S44" s="20" t="s">
        <v>1405</v>
      </c>
      <c r="T44" s="20"/>
      <c r="U44" s="20"/>
      <c r="V44" s="20"/>
      <c r="W44" s="20"/>
      <c r="X44" s="20"/>
      <c r="Y44" s="20"/>
      <c r="Z44" s="20"/>
    </row>
    <row r="45" spans="1:26" x14ac:dyDescent="0.25">
      <c r="A45" s="173" t="s">
        <v>39</v>
      </c>
      <c r="B45" s="125">
        <f ca="1">VLOOKUP(Bd,$L$40:$N$64,2,TRUE)</f>
        <v>0</v>
      </c>
      <c r="C45" s="125">
        <f ca="1">VLOOKUP(Bd,$L$40:$N$64,3,TRUE)</f>
        <v>0</v>
      </c>
      <c r="D45" s="106"/>
      <c r="E45" s="128" t="s">
        <v>88</v>
      </c>
      <c r="F45" s="184"/>
      <c r="G45" s="125">
        <f>MATCH(Race,SMs!$A$4:$A$34,0)</f>
        <v>2</v>
      </c>
      <c r="H45" s="20"/>
      <c r="I45" s="128" t="str">
        <f>SMs!$A$10</f>
        <v>Human, Mabula</v>
      </c>
      <c r="J45" s="127"/>
      <c r="K45" s="20"/>
      <c r="L45" s="125">
        <v>6</v>
      </c>
      <c r="M45" s="125">
        <v>-4</v>
      </c>
      <c r="N45" s="125">
        <v>-2</v>
      </c>
      <c r="O45" s="20"/>
      <c r="P45" s="20"/>
      <c r="Q45" s="20"/>
      <c r="R45" s="20" t="s">
        <v>1237</v>
      </c>
      <c r="S45" s="20" t="s">
        <v>1474</v>
      </c>
      <c r="T45" s="20"/>
      <c r="U45" s="20"/>
      <c r="V45" s="20"/>
      <c r="W45" s="20"/>
      <c r="X45" s="20"/>
      <c r="Y45" s="20"/>
      <c r="Z45" s="20"/>
    </row>
    <row r="46" spans="1:26" x14ac:dyDescent="0.25">
      <c r="A46" s="173" t="s">
        <v>41</v>
      </c>
      <c r="B46" s="125">
        <f ca="1">VLOOKUP(Bt,$L$40:$N$64,2,TRUE)</f>
        <v>7</v>
      </c>
      <c r="C46" s="125">
        <f ca="1">VLOOKUP(Bt,$L$40:$N$64,3,TRUE)</f>
        <v>3</v>
      </c>
      <c r="D46" s="106"/>
      <c r="E46" s="128" t="s">
        <v>89</v>
      </c>
      <c r="F46" s="184"/>
      <c r="G46" s="125">
        <f>IF(H4="Yes", 0, 1)</f>
        <v>1</v>
      </c>
      <c r="H46" s="20"/>
      <c r="I46" s="128" t="str">
        <f>SMs!$A$11</f>
        <v>Human, Kayani</v>
      </c>
      <c r="J46" s="127"/>
      <c r="K46" s="20"/>
      <c r="L46" s="125">
        <v>7</v>
      </c>
      <c r="M46" s="125">
        <v>-3</v>
      </c>
      <c r="N46" s="125">
        <v>-1</v>
      </c>
      <c r="O46" s="20"/>
      <c r="P46" s="20"/>
      <c r="Q46" s="20"/>
      <c r="R46" s="20" t="s">
        <v>1228</v>
      </c>
      <c r="S46" s="20" t="s">
        <v>1408</v>
      </c>
      <c r="T46" s="20"/>
      <c r="U46" s="20"/>
      <c r="V46" s="20"/>
      <c r="W46" s="20"/>
      <c r="X46" s="20"/>
      <c r="Y46" s="20"/>
      <c r="Z46" s="20"/>
    </row>
    <row r="47" spans="1:26" x14ac:dyDescent="0.25">
      <c r="A47" s="173" t="s">
        <v>24</v>
      </c>
      <c r="B47" s="125">
        <f ca="1">VLOOKUP(Sg,$L$40:$N$64,2,FALSE)</f>
        <v>2</v>
      </c>
      <c r="C47" s="125">
        <f ca="1">VLOOKUP(Sg,$L$40:$N$64,3,FALSE)</f>
        <v>1</v>
      </c>
      <c r="D47" s="106"/>
      <c r="E47" s="128" t="s">
        <v>90</v>
      </c>
      <c r="F47" s="184"/>
      <c r="G47" s="125">
        <f>HLOOKUP("In die",SMs!$A$4:$BG$35,$G$45,FALSE)</f>
        <v>6</v>
      </c>
      <c r="H47" s="20"/>
      <c r="I47" s="128" t="str">
        <f>SMs!$A$12</f>
        <v>Human, Ice Man</v>
      </c>
      <c r="J47" s="127"/>
      <c r="K47" s="20"/>
      <c r="L47" s="125">
        <v>8</v>
      </c>
      <c r="M47" s="125">
        <v>-2</v>
      </c>
      <c r="N47" s="125">
        <v>-1</v>
      </c>
      <c r="O47" s="20"/>
      <c r="P47" s="20"/>
      <c r="Q47" s="20"/>
      <c r="R47" s="20" t="s">
        <v>1231</v>
      </c>
      <c r="S47" s="20" t="s">
        <v>1409</v>
      </c>
      <c r="T47" s="20"/>
      <c r="U47" s="20"/>
      <c r="V47" s="20"/>
      <c r="W47" s="20"/>
      <c r="X47" s="20"/>
      <c r="Y47" s="20"/>
      <c r="Z47" s="20"/>
    </row>
    <row r="48" spans="1:26" x14ac:dyDescent="0.25">
      <c r="A48" s="173" t="s">
        <v>27</v>
      </c>
      <c r="B48" s="125">
        <f ca="1">VLOOKUP(Hr,$L$40:$N$64,2,FALSE)</f>
        <v>7</v>
      </c>
      <c r="C48" s="125">
        <f ca="1">VLOOKUP(Hr,$L$40:$N$64,3,FALSE)</f>
        <v>3</v>
      </c>
      <c r="D48" s="106"/>
      <c r="E48" s="20"/>
      <c r="F48" s="20"/>
      <c r="G48" s="20"/>
      <c r="H48" s="20"/>
      <c r="I48" s="128" t="str">
        <f>SMs!$A$13</f>
        <v>Human, Ky'rb-Ok</v>
      </c>
      <c r="J48" s="127"/>
      <c r="K48" s="20"/>
      <c r="L48" s="125">
        <v>9</v>
      </c>
      <c r="M48" s="125">
        <v>-1</v>
      </c>
      <c r="N48" s="125">
        <v>0</v>
      </c>
      <c r="O48" s="20"/>
      <c r="P48" s="20"/>
      <c r="Q48" s="20"/>
      <c r="R48" s="20" t="s">
        <v>1297</v>
      </c>
      <c r="S48" s="20" t="s">
        <v>1410</v>
      </c>
      <c r="T48" s="20"/>
      <c r="U48" s="20"/>
      <c r="V48" s="20"/>
      <c r="W48" s="20"/>
      <c r="X48" s="20"/>
      <c r="Y48" s="20"/>
      <c r="Z48" s="20"/>
    </row>
    <row r="49" spans="1:26" x14ac:dyDescent="0.25">
      <c r="A49" s="173" t="s">
        <v>29</v>
      </c>
      <c r="B49" s="125">
        <f ca="1">VLOOKUP(Tc,$L$40:$N$64,2,FALSE)</f>
        <v>1</v>
      </c>
      <c r="C49" s="125">
        <f ca="1">VLOOKUP(Tc,$L$40:$N$64,3,FALSE)</f>
        <v>0</v>
      </c>
      <c r="D49" s="106"/>
      <c r="E49" s="20"/>
      <c r="F49" s="20"/>
      <c r="G49" s="20"/>
      <c r="H49" s="20"/>
      <c r="I49" s="128" t="str">
        <f>SMs!$A$15</f>
        <v>Sindar</v>
      </c>
      <c r="J49" s="127"/>
      <c r="K49" s="20"/>
      <c r="L49" s="125">
        <v>10</v>
      </c>
      <c r="M49" s="125">
        <v>0</v>
      </c>
      <c r="N49" s="125">
        <v>0</v>
      </c>
      <c r="O49" s="20"/>
      <c r="P49" s="20"/>
      <c r="Q49" s="20"/>
      <c r="R49" s="20" t="s">
        <v>1243</v>
      </c>
      <c r="S49" s="20" t="s">
        <v>1411</v>
      </c>
      <c r="T49" s="20"/>
      <c r="U49" s="20"/>
      <c r="V49" s="20"/>
      <c r="W49" s="20"/>
      <c r="X49" s="20"/>
      <c r="Y49" s="20"/>
      <c r="Z49" s="20"/>
    </row>
    <row r="50" spans="1:26" x14ac:dyDescent="0.25">
      <c r="A50" s="173" t="s">
        <v>32</v>
      </c>
      <c r="B50" s="125">
        <f ca="1">VLOOKUP(Sm,$L$40:$N$64,2,FALSE)</f>
        <v>2</v>
      </c>
      <c r="C50" s="125">
        <f ca="1">VLOOKUP(Sm,$L$40:$N$64,3,FALSE)</f>
        <v>1</v>
      </c>
      <c r="D50" s="106"/>
      <c r="E50" s="20"/>
      <c r="F50" s="20"/>
      <c r="G50" s="20"/>
      <c r="H50" s="20"/>
      <c r="I50" s="128" t="str">
        <f>SMs!$A$16</f>
        <v>Calaquendi</v>
      </c>
      <c r="J50" s="127"/>
      <c r="K50" s="20"/>
      <c r="L50" s="125">
        <v>11</v>
      </c>
      <c r="M50" s="125">
        <v>0</v>
      </c>
      <c r="N50" s="125">
        <v>0</v>
      </c>
      <c r="O50" s="20"/>
      <c r="P50" s="20"/>
      <c r="Q50" s="20"/>
      <c r="R50" s="20" t="s">
        <v>1330</v>
      </c>
      <c r="S50" s="20" t="s">
        <v>1412</v>
      </c>
      <c r="T50" s="20"/>
      <c r="U50" s="20"/>
      <c r="V50" s="20"/>
      <c r="W50" s="20"/>
      <c r="X50" s="20"/>
      <c r="Y50" s="20"/>
      <c r="Z50" s="20"/>
    </row>
    <row r="51" spans="1:26" x14ac:dyDescent="0.25">
      <c r="A51" s="173" t="s">
        <v>36</v>
      </c>
      <c r="B51" s="125">
        <f ca="1">VLOOKUP(Ts,$L$40:$N$64,2,FALSE)</f>
        <v>1</v>
      </c>
      <c r="C51" s="125">
        <f ca="1">VLOOKUP(Ts,$L$40:$N$64,3,FALSE)</f>
        <v>0</v>
      </c>
      <c r="D51" s="106"/>
      <c r="E51" s="20"/>
      <c r="F51" s="20"/>
      <c r="G51" s="20"/>
      <c r="H51" s="20"/>
      <c r="I51" s="128" t="str">
        <f>SMs!$A$18</f>
        <v>Gabilkhazâd</v>
      </c>
      <c r="J51" s="127"/>
      <c r="K51" s="20"/>
      <c r="L51" s="125">
        <v>12</v>
      </c>
      <c r="M51" s="125">
        <v>1</v>
      </c>
      <c r="N51" s="125">
        <v>0</v>
      </c>
      <c r="O51" s="20"/>
      <c r="P51" s="20"/>
      <c r="Q51" s="20"/>
      <c r="R51" s="20" t="s">
        <v>1247</v>
      </c>
      <c r="S51" s="20" t="s">
        <v>1473</v>
      </c>
      <c r="T51" s="20"/>
      <c r="U51" s="20"/>
      <c r="V51" s="20"/>
      <c r="W51" s="20"/>
      <c r="X51" s="20"/>
      <c r="Y51" s="20"/>
      <c r="Z51" s="20"/>
    </row>
    <row r="52" spans="1:26" x14ac:dyDescent="0.25">
      <c r="A52" s="173" t="s">
        <v>42</v>
      </c>
      <c r="B52" s="125">
        <f ca="1">VLOOKUP(At,$L$40:$N$64,2,TRUE)</f>
        <v>3</v>
      </c>
      <c r="C52" s="125">
        <f ca="1">VLOOKUP(At,$L$40:$N$64,3,TRUE)</f>
        <v>1</v>
      </c>
      <c r="D52" s="106"/>
      <c r="E52" s="20"/>
      <c r="F52" s="20"/>
      <c r="G52" s="20"/>
      <c r="H52" s="20"/>
      <c r="I52" s="128" t="str">
        <f>SMs!$A$19</f>
        <v>Taramkhazâd</v>
      </c>
      <c r="J52" s="127"/>
      <c r="K52" s="20"/>
      <c r="L52" s="125">
        <v>13</v>
      </c>
      <c r="M52" s="125">
        <v>2</v>
      </c>
      <c r="N52" s="125">
        <v>1</v>
      </c>
      <c r="O52" s="20"/>
      <c r="P52" s="20"/>
      <c r="Q52" s="20"/>
      <c r="R52" s="20" t="s">
        <v>1296</v>
      </c>
      <c r="S52" s="20" t="s">
        <v>1413</v>
      </c>
      <c r="T52" s="20"/>
      <c r="U52" s="20"/>
      <c r="V52" s="20"/>
      <c r="W52" s="20"/>
      <c r="X52" s="20"/>
      <c r="Y52" s="20"/>
      <c r="Z52" s="20"/>
    </row>
    <row r="53" spans="1:26" x14ac:dyDescent="0.25">
      <c r="A53" s="173" t="s">
        <v>25</v>
      </c>
      <c r="B53" s="125">
        <f ca="1">VLOOKUP(In,$L$40:$N$64,2,FALSE)</f>
        <v>0</v>
      </c>
      <c r="C53" s="125">
        <f ca="1">VLOOKUP(In,$L$40:$N$64,3,FALSE)</f>
        <v>0</v>
      </c>
      <c r="D53" s="106"/>
      <c r="E53" s="20"/>
      <c r="F53" s="20"/>
      <c r="G53" s="20"/>
      <c r="H53" s="20"/>
      <c r="I53" s="128" t="str">
        <f>SMs!$A$20</f>
        <v>Gizdîm</v>
      </c>
      <c r="J53" s="127"/>
      <c r="K53" s="20"/>
      <c r="L53" s="125">
        <v>14</v>
      </c>
      <c r="M53" s="125">
        <v>3</v>
      </c>
      <c r="N53" s="125">
        <v>1</v>
      </c>
      <c r="O53" s="20"/>
      <c r="P53" s="20"/>
      <c r="Q53" s="20"/>
      <c r="R53" s="20" t="s">
        <v>1315</v>
      </c>
      <c r="S53" s="20" t="s">
        <v>1466</v>
      </c>
      <c r="T53" s="20"/>
      <c r="U53" s="20"/>
      <c r="V53" s="20"/>
      <c r="W53" s="20"/>
      <c r="X53" s="20"/>
      <c r="Y53" s="20"/>
      <c r="Z53" s="20"/>
    </row>
    <row r="54" spans="1:26" x14ac:dyDescent="0.25">
      <c r="A54" s="173" t="s">
        <v>28</v>
      </c>
      <c r="B54" s="125">
        <f ca="1">VLOOKUP(Dx_M,$L$40:$N$64,2,FALSE)</f>
        <v>-2</v>
      </c>
      <c r="C54" s="125">
        <f ca="1">VLOOKUP(Dx_M,$L$40:$N$64,3,FALSE)</f>
        <v>-1</v>
      </c>
      <c r="D54" s="106"/>
      <c r="E54" s="128" t="s">
        <v>91</v>
      </c>
      <c r="F54" s="184"/>
      <c r="G54" s="125">
        <f ca="1">INT(1+4*RAND())</f>
        <v>3</v>
      </c>
      <c r="H54" s="20"/>
      <c r="I54" s="129" t="str">
        <f>SMs!$A$22</f>
        <v>Gnoll</v>
      </c>
      <c r="J54" s="127"/>
      <c r="K54" s="20"/>
      <c r="L54" s="125">
        <v>15</v>
      </c>
      <c r="M54" s="125">
        <v>4</v>
      </c>
      <c r="N54" s="125">
        <v>2</v>
      </c>
      <c r="O54" s="20"/>
      <c r="P54" s="20"/>
      <c r="Q54" s="20"/>
      <c r="R54" s="20" t="s">
        <v>1250</v>
      </c>
      <c r="S54" s="20" t="s">
        <v>1414</v>
      </c>
      <c r="T54" s="20"/>
      <c r="U54" s="20"/>
      <c r="V54" s="20"/>
      <c r="W54" s="20"/>
      <c r="X54" s="20"/>
      <c r="Y54" s="20"/>
      <c r="Z54" s="20"/>
    </row>
    <row r="55" spans="1:26" x14ac:dyDescent="0.25">
      <c r="A55" s="173" t="s">
        <v>30</v>
      </c>
      <c r="B55" s="125">
        <f ca="1">VLOOKUP(Mr,$L$40:$N$64,2,FALSE)</f>
        <v>3</v>
      </c>
      <c r="C55" s="125">
        <f ca="1">VLOOKUP(Mr,$L$40:$N$64,3,FALSE)</f>
        <v>1</v>
      </c>
      <c r="D55" s="106"/>
      <c r="E55" s="128" t="s">
        <v>92</v>
      </c>
      <c r="F55" s="184"/>
      <c r="G55" s="125">
        <f ca="1">HLOOKUP(INT(FtL+1),HPs_SPs_rolls_per_level,2,FALSE)</f>
        <v>3</v>
      </c>
      <c r="H55" s="20"/>
      <c r="I55" s="128" t="str">
        <f>SMs!$A$24</f>
        <v>Hobbit</v>
      </c>
      <c r="J55" s="127"/>
      <c r="K55" s="20"/>
      <c r="L55" s="125">
        <v>16</v>
      </c>
      <c r="M55" s="125">
        <v>5</v>
      </c>
      <c r="N55" s="125">
        <v>2</v>
      </c>
      <c r="O55" s="20"/>
      <c r="P55" s="20"/>
      <c r="Q55" s="20"/>
      <c r="R55" s="20" t="s">
        <v>1300</v>
      </c>
      <c r="S55" s="20" t="s">
        <v>1415</v>
      </c>
      <c r="T55" s="20"/>
      <c r="U55" s="20"/>
      <c r="V55" s="20"/>
      <c r="W55" s="20"/>
      <c r="X55" s="20"/>
      <c r="Y55" s="20"/>
      <c r="Z55" s="20"/>
    </row>
    <row r="56" spans="1:26" x14ac:dyDescent="0.25">
      <c r="A56" s="173" t="s">
        <v>33</v>
      </c>
      <c r="B56" s="125">
        <f ca="1">VLOOKUP(Wp,$L$40:$N$64,2,FALSE)</f>
        <v>2</v>
      </c>
      <c r="C56" s="125">
        <f ca="1">VLOOKUP(Wp,$L$40:$N$64,3,FALSE)</f>
        <v>1</v>
      </c>
      <c r="D56" s="106"/>
      <c r="E56" s="128" t="s">
        <v>93</v>
      </c>
      <c r="F56" s="184"/>
      <c r="G56" s="125">
        <f ca="1">HLOOKUP(INT(MUL+1),HPs_SPs_rolls_per_level,3,FALSE)</f>
        <v>5</v>
      </c>
      <c r="H56" s="20"/>
      <c r="I56" s="128" t="s">
        <v>95</v>
      </c>
      <c r="J56" s="127"/>
      <c r="K56" s="20"/>
      <c r="L56" s="125">
        <v>17</v>
      </c>
      <c r="M56" s="125">
        <v>6</v>
      </c>
      <c r="N56" s="125">
        <v>3</v>
      </c>
      <c r="O56" s="20"/>
      <c r="P56" s="20"/>
      <c r="Q56" s="20"/>
      <c r="R56" s="20" t="s">
        <v>1333</v>
      </c>
      <c r="S56" s="20" t="s">
        <v>1416</v>
      </c>
      <c r="T56" s="20"/>
      <c r="U56" s="20"/>
      <c r="V56" s="20"/>
      <c r="W56" s="20"/>
      <c r="X56" s="20"/>
      <c r="Y56" s="20"/>
      <c r="Z56" s="20"/>
    </row>
    <row r="57" spans="1:26" x14ac:dyDescent="0.25">
      <c r="A57" s="173" t="s">
        <v>37</v>
      </c>
      <c r="B57" s="125">
        <f ca="1">VLOOKUP(Ft,$L$40:$N$64,2,FALSE)</f>
        <v>3</v>
      </c>
      <c r="C57" s="125">
        <f ca="1">VLOOKUP(Ft,$L$40:$N$64,3,FALSE)</f>
        <v>1</v>
      </c>
      <c r="D57" s="106"/>
      <c r="E57" s="128" t="s">
        <v>94</v>
      </c>
      <c r="F57" s="184"/>
      <c r="G57" s="172" t="str">
        <f ca="1">" @ "&amp;TEXT(INT(FtL),"0")&amp;" "&amp;TEXT($P$67,"0")&amp;"/"&amp;TEXT($G$55,"0")</f>
        <v xml:space="preserve"> @ 7 0/3</v>
      </c>
      <c r="H57" s="20"/>
      <c r="I57" s="129" t="str">
        <f>SMs!$A$26</f>
        <v>Hobgoblin</v>
      </c>
      <c r="J57" s="127"/>
      <c r="K57" s="20"/>
      <c r="L57" s="125">
        <v>18</v>
      </c>
      <c r="M57" s="125">
        <v>7</v>
      </c>
      <c r="N57" s="125">
        <v>3</v>
      </c>
      <c r="O57" s="20"/>
      <c r="P57" s="20"/>
      <c r="Q57" s="20"/>
      <c r="R57" s="20" t="s">
        <v>1023</v>
      </c>
      <c r="S57" s="20" t="s">
        <v>1417</v>
      </c>
      <c r="T57" s="20"/>
      <c r="U57" s="20"/>
      <c r="V57" s="20"/>
      <c r="W57" s="20"/>
      <c r="X57" s="20"/>
      <c r="Y57" s="20"/>
      <c r="Z57" s="20"/>
    </row>
    <row r="58" spans="1:26" x14ac:dyDescent="0.25">
      <c r="A58" s="173" t="s">
        <v>40</v>
      </c>
      <c r="B58" s="125">
        <f ca="1">VLOOKUP(Nt,$L$40:$N$64,2,FALSE)</f>
        <v>8</v>
      </c>
      <c r="C58" s="125">
        <f ca="1">VLOOKUP(Nt,$L$40:$N$64,3,FALSE)</f>
        <v>4</v>
      </c>
      <c r="D58" s="106"/>
      <c r="E58" s="128" t="s">
        <v>96</v>
      </c>
      <c r="F58" s="184"/>
      <c r="G58" s="172" t="str">
        <f ca="1">" @ "&amp;TEXT(INT(MUL),"0")&amp;" "&amp;TEXT($P$68,"0")&amp;"/"&amp;TEXT($G$56,"0")</f>
        <v xml:space="preserve"> @ 9 4/5</v>
      </c>
      <c r="H58" s="20"/>
      <c r="I58" s="129" t="str">
        <f>SMs!$A$27</f>
        <v>Goblin</v>
      </c>
      <c r="J58" s="127"/>
      <c r="K58" s="20"/>
      <c r="L58" s="125">
        <v>19</v>
      </c>
      <c r="M58" s="125">
        <v>7</v>
      </c>
      <c r="N58" s="125">
        <v>3</v>
      </c>
      <c r="O58" s="20"/>
      <c r="P58" s="20"/>
      <c r="Q58" s="20"/>
      <c r="R58" s="20" t="s">
        <v>1336</v>
      </c>
      <c r="S58" s="20" t="s">
        <v>1418</v>
      </c>
      <c r="T58" s="20"/>
      <c r="U58" s="20"/>
      <c r="V58" s="20"/>
      <c r="W58" s="20"/>
      <c r="X58" s="20"/>
      <c r="Y58" s="20"/>
      <c r="Z58" s="20"/>
    </row>
    <row r="59" spans="1:26" x14ac:dyDescent="0.25">
      <c r="A59" s="173"/>
      <c r="B59" s="172"/>
      <c r="C59" s="172"/>
      <c r="D59" s="20"/>
      <c r="E59" s="20"/>
      <c r="F59" s="20"/>
      <c r="G59" s="20"/>
      <c r="H59" s="20"/>
      <c r="I59" s="129" t="str">
        <f>SMs!$A$28</f>
        <v>Kobold</v>
      </c>
      <c r="J59" s="127"/>
      <c r="K59" s="20"/>
      <c r="L59" s="125">
        <v>20</v>
      </c>
      <c r="M59" s="125">
        <v>8</v>
      </c>
      <c r="N59" s="125">
        <v>4</v>
      </c>
      <c r="O59" s="20"/>
      <c r="P59" s="20"/>
      <c r="Q59" s="20"/>
      <c r="R59" s="20" t="s">
        <v>1266</v>
      </c>
      <c r="S59" s="20" t="s">
        <v>1426</v>
      </c>
      <c r="T59" s="20"/>
      <c r="U59" s="20"/>
      <c r="V59" s="20"/>
      <c r="W59" s="20"/>
      <c r="X59" s="20"/>
      <c r="Y59" s="20"/>
      <c r="Z59" s="20"/>
    </row>
    <row r="60" spans="1:26" x14ac:dyDescent="0.25">
      <c r="A60" s="173" t="s">
        <v>1001</v>
      </c>
      <c r="B60" s="172">
        <f ca="1">- 3.33*($C$53+$C$54+$C$55)</f>
        <v>0</v>
      </c>
      <c r="C60" s="172" t="s">
        <v>1002</v>
      </c>
      <c r="D60" s="20"/>
      <c r="E60" s="20"/>
      <c r="F60" s="20"/>
      <c r="G60" s="20"/>
      <c r="H60" s="20"/>
      <c r="I60" s="128" t="str">
        <f>SMs!$A$30</f>
        <v>Orc</v>
      </c>
      <c r="J60" s="127"/>
      <c r="K60" s="20"/>
      <c r="L60" s="125">
        <v>21</v>
      </c>
      <c r="M60" s="125">
        <v>8</v>
      </c>
      <c r="N60" s="125">
        <v>4</v>
      </c>
      <c r="O60" s="20"/>
      <c r="P60" s="20"/>
      <c r="Q60" s="20"/>
      <c r="R60" s="20" t="s">
        <v>1253</v>
      </c>
      <c r="S60" s="20" t="s">
        <v>1472</v>
      </c>
      <c r="T60" s="20"/>
      <c r="U60" s="20"/>
      <c r="V60" s="20"/>
      <c r="W60" s="20"/>
      <c r="X60" s="20"/>
      <c r="Y60" s="20"/>
      <c r="Z60" s="20"/>
    </row>
    <row r="61" spans="1:26" x14ac:dyDescent="0.25">
      <c r="A61" s="21"/>
      <c r="B61" s="20"/>
      <c r="C61" s="20"/>
      <c r="D61" s="20"/>
      <c r="E61" s="20"/>
      <c r="F61" s="20"/>
      <c r="G61" s="20"/>
      <c r="H61" s="20"/>
      <c r="I61" s="128" t="str">
        <f>SMs!$A$31</f>
        <v>Uruk-Hai</v>
      </c>
      <c r="J61" s="127"/>
      <c r="K61" s="20"/>
      <c r="L61" s="125">
        <v>22</v>
      </c>
      <c r="M61" s="125">
        <v>9</v>
      </c>
      <c r="N61" s="125">
        <v>4</v>
      </c>
      <c r="O61" s="20"/>
      <c r="P61" s="20"/>
      <c r="Q61" s="20"/>
      <c r="R61" s="20" t="s">
        <v>1244</v>
      </c>
      <c r="S61" s="20" t="s">
        <v>1419</v>
      </c>
      <c r="T61" s="20"/>
      <c r="U61" s="20"/>
      <c r="V61" s="20"/>
      <c r="W61" s="20"/>
      <c r="X61" s="20"/>
      <c r="Y61" s="20"/>
      <c r="Z61" s="20"/>
    </row>
    <row r="62" spans="1:26" x14ac:dyDescent="0.25">
      <c r="A62" s="21"/>
      <c r="B62" s="20"/>
      <c r="C62" s="20"/>
      <c r="D62" s="20"/>
      <c r="E62" s="20"/>
      <c r="F62" s="20"/>
      <c r="G62" s="20"/>
      <c r="H62" s="20"/>
      <c r="I62" s="128" t="str">
        <f>SMs!$A$33</f>
        <v>Camari</v>
      </c>
      <c r="J62" s="127"/>
      <c r="K62" s="20"/>
      <c r="L62" s="125">
        <v>23</v>
      </c>
      <c r="M62" s="125">
        <v>9</v>
      </c>
      <c r="N62" s="125">
        <v>4</v>
      </c>
      <c r="O62" s="20"/>
      <c r="P62" s="20"/>
      <c r="Q62" s="20"/>
      <c r="R62" s="20" t="s">
        <v>1334</v>
      </c>
      <c r="S62" s="20" t="s">
        <v>1420</v>
      </c>
      <c r="T62" s="20"/>
      <c r="U62" s="20"/>
      <c r="V62" s="20"/>
      <c r="W62" s="20"/>
      <c r="X62" s="20"/>
      <c r="Y62" s="20"/>
      <c r="Z62" s="20"/>
    </row>
    <row r="63" spans="1:26" x14ac:dyDescent="0.25">
      <c r="A63" s="21"/>
      <c r="B63" s="20"/>
      <c r="C63" s="20"/>
      <c r="D63" s="20"/>
      <c r="E63" s="20"/>
      <c r="F63" s="20"/>
      <c r="G63" s="20"/>
      <c r="H63" s="20"/>
      <c r="I63" s="128" t="str">
        <f>SMs!$A$34</f>
        <v>Sahuagin</v>
      </c>
      <c r="J63" s="20"/>
      <c r="K63" s="20"/>
      <c r="L63" s="125">
        <v>24</v>
      </c>
      <c r="M63" s="125">
        <v>10</v>
      </c>
      <c r="N63" s="125">
        <v>5</v>
      </c>
      <c r="O63" s="20"/>
      <c r="P63" s="20"/>
      <c r="Q63" s="20"/>
      <c r="R63" s="20" t="s">
        <v>1331</v>
      </c>
      <c r="S63" s="20" t="s">
        <v>1421</v>
      </c>
      <c r="T63" s="20"/>
      <c r="U63" s="20"/>
      <c r="V63" s="20"/>
      <c r="W63" s="20"/>
      <c r="X63" s="20"/>
      <c r="Y63" s="20"/>
      <c r="Z63" s="20"/>
    </row>
    <row r="64" spans="1:26" x14ac:dyDescent="0.25">
      <c r="A64" s="20"/>
      <c r="B64" s="20"/>
      <c r="C64" s="20"/>
      <c r="D64" s="20"/>
      <c r="E64" s="20"/>
      <c r="F64" s="20"/>
      <c r="G64" s="20"/>
      <c r="H64" s="20"/>
      <c r="I64" s="20"/>
      <c r="J64" s="20"/>
      <c r="K64" s="20"/>
      <c r="L64" s="125">
        <v>25</v>
      </c>
      <c r="M64" s="125">
        <v>10</v>
      </c>
      <c r="N64" s="125">
        <v>5</v>
      </c>
      <c r="O64" s="20"/>
      <c r="P64" s="20"/>
      <c r="Q64" s="20"/>
      <c r="R64" s="20" t="s">
        <v>1239</v>
      </c>
      <c r="S64" s="20" t="s">
        <v>1422</v>
      </c>
      <c r="T64" s="20"/>
      <c r="U64" s="20"/>
      <c r="V64" s="20"/>
      <c r="W64" s="20"/>
      <c r="X64" s="20"/>
      <c r="Y64" s="20"/>
      <c r="Z64" s="20"/>
    </row>
    <row r="65" spans="1:26" x14ac:dyDescent="0.25">
      <c r="A65" s="20"/>
      <c r="B65" s="20"/>
      <c r="C65" s="20"/>
      <c r="D65" s="20"/>
      <c r="E65" s="20"/>
      <c r="F65" s="20"/>
      <c r="G65" s="20"/>
      <c r="H65" s="20"/>
      <c r="I65" s="20"/>
      <c r="J65" s="20"/>
      <c r="K65" s="20"/>
      <c r="L65" s="106"/>
      <c r="M65" s="106"/>
      <c r="N65" s="106"/>
      <c r="O65" s="20"/>
      <c r="P65" s="20"/>
      <c r="Q65" s="20"/>
      <c r="R65" s="20" t="s">
        <v>1339</v>
      </c>
      <c r="S65" s="20" t="s">
        <v>1423</v>
      </c>
      <c r="T65" s="20"/>
      <c r="U65" s="20"/>
      <c r="V65" s="20"/>
      <c r="W65" s="20"/>
      <c r="X65" s="20"/>
      <c r="Y65" s="20"/>
      <c r="Z65" s="20"/>
    </row>
    <row r="66" spans="1:26" x14ac:dyDescent="0.25">
      <c r="A66" s="181" t="s">
        <v>97</v>
      </c>
      <c r="B66" s="182">
        <v>1</v>
      </c>
      <c r="C66" s="182">
        <f t="shared" ref="C66:O66" si="0">B66+1</f>
        <v>2</v>
      </c>
      <c r="D66" s="182">
        <f t="shared" si="0"/>
        <v>3</v>
      </c>
      <c r="E66" s="182">
        <f t="shared" si="0"/>
        <v>4</v>
      </c>
      <c r="F66" s="182">
        <f t="shared" si="0"/>
        <v>5</v>
      </c>
      <c r="G66" s="182">
        <f t="shared" si="0"/>
        <v>6</v>
      </c>
      <c r="H66" s="182">
        <f t="shared" si="0"/>
        <v>7</v>
      </c>
      <c r="I66" s="182">
        <f t="shared" si="0"/>
        <v>8</v>
      </c>
      <c r="J66" s="182">
        <f t="shared" si="0"/>
        <v>9</v>
      </c>
      <c r="K66" s="182">
        <f t="shared" si="0"/>
        <v>10</v>
      </c>
      <c r="L66" s="182">
        <f t="shared" si="0"/>
        <v>11</v>
      </c>
      <c r="M66" s="182">
        <f t="shared" si="0"/>
        <v>12</v>
      </c>
      <c r="N66" s="182">
        <f t="shared" si="0"/>
        <v>13</v>
      </c>
      <c r="O66" s="182">
        <f t="shared" si="0"/>
        <v>14</v>
      </c>
      <c r="P66" s="182" t="s">
        <v>98</v>
      </c>
      <c r="Q66" s="182" t="s">
        <v>99</v>
      </c>
      <c r="R66" s="20" t="s">
        <v>1255</v>
      </c>
      <c r="S66" s="309" t="s">
        <v>1129</v>
      </c>
      <c r="T66" s="23"/>
      <c r="U66" s="23"/>
      <c r="V66" s="23"/>
      <c r="W66" s="23"/>
      <c r="X66" s="23"/>
      <c r="Y66" s="23"/>
      <c r="Z66" s="23"/>
    </row>
    <row r="67" spans="1:26" x14ac:dyDescent="0.25">
      <c r="A67" s="173" t="s">
        <v>100</v>
      </c>
      <c r="B67" s="125">
        <f ca="1">(IF(FtL&gt;=B66,1,0)*(INT(1+4*RAND())+INT(1+4*RAND())))</f>
        <v>6</v>
      </c>
      <c r="C67" s="180">
        <f t="shared" ref="C67:O67" ca="1" si="1">(IF(FtL&gt;=B$66,1,0)*(INT(1+4*RAND())+INT(1+4*RAND())))</f>
        <v>6</v>
      </c>
      <c r="D67" s="175">
        <f t="shared" ca="1" si="1"/>
        <v>4</v>
      </c>
      <c r="E67" s="175">
        <f t="shared" ca="1" si="1"/>
        <v>3</v>
      </c>
      <c r="F67" s="175">
        <f t="shared" ca="1" si="1"/>
        <v>4</v>
      </c>
      <c r="G67" s="175">
        <f t="shared" ca="1" si="1"/>
        <v>7</v>
      </c>
      <c r="H67" s="175">
        <f t="shared" ca="1" si="1"/>
        <v>5</v>
      </c>
      <c r="I67" s="175">
        <f t="shared" ca="1" si="1"/>
        <v>3</v>
      </c>
      <c r="J67" s="175">
        <f t="shared" ca="1" si="1"/>
        <v>0</v>
      </c>
      <c r="K67" s="175">
        <f t="shared" ca="1" si="1"/>
        <v>0</v>
      </c>
      <c r="L67" s="175">
        <f t="shared" ca="1" si="1"/>
        <v>0</v>
      </c>
      <c r="M67" s="175">
        <f t="shared" ca="1" si="1"/>
        <v>0</v>
      </c>
      <c r="N67" s="175">
        <f t="shared" ca="1" si="1"/>
        <v>0</v>
      </c>
      <c r="O67" s="175">
        <f t="shared" ca="1" si="1"/>
        <v>0</v>
      </c>
      <c r="P67" s="183">
        <f ca="1">INT((FtL-INT(FtL))*$G$55)</f>
        <v>0</v>
      </c>
      <c r="Q67" s="183">
        <f ca="1">SUM(B67:P67)-HLOOKUP(INT(FtL+1),HPs_SPs_rolls_per_level,2,FALSE)</f>
        <v>35</v>
      </c>
      <c r="R67" s="20" t="s">
        <v>1235</v>
      </c>
      <c r="S67" s="309" t="s">
        <v>1424</v>
      </c>
      <c r="T67" s="20"/>
      <c r="U67" s="20"/>
      <c r="V67" s="20"/>
      <c r="W67" s="20"/>
      <c r="X67" s="20"/>
      <c r="Y67" s="20"/>
      <c r="Z67" s="20"/>
    </row>
    <row r="68" spans="1:26" x14ac:dyDescent="0.25">
      <c r="A68" s="173" t="s">
        <v>101</v>
      </c>
      <c r="B68" s="125">
        <f ca="1">(IF(MUL&gt;=B66,1,0)*(INT(1+4*RAND())+INT(1+4*RAND())))</f>
        <v>5</v>
      </c>
      <c r="C68" s="179">
        <f t="shared" ref="C68:O68" ca="1" si="2">(IF(MUL&gt;=B$66,1,0)*(INT(1+4*RAND())+INT(1+4*RAND())))</f>
        <v>8</v>
      </c>
      <c r="D68" s="174">
        <f t="shared" ca="1" si="2"/>
        <v>4</v>
      </c>
      <c r="E68" s="174">
        <f t="shared" ca="1" si="2"/>
        <v>4</v>
      </c>
      <c r="F68" s="174">
        <f t="shared" ca="1" si="2"/>
        <v>6</v>
      </c>
      <c r="G68" s="174">
        <f t="shared" ca="1" si="2"/>
        <v>8</v>
      </c>
      <c r="H68" s="174">
        <f t="shared" ca="1" si="2"/>
        <v>4</v>
      </c>
      <c r="I68" s="174">
        <f t="shared" ca="1" si="2"/>
        <v>4</v>
      </c>
      <c r="J68" s="174">
        <f t="shared" ca="1" si="2"/>
        <v>5</v>
      </c>
      <c r="K68" s="174">
        <f t="shared" ca="1" si="2"/>
        <v>5</v>
      </c>
      <c r="L68" s="174">
        <f t="shared" ca="1" si="2"/>
        <v>0</v>
      </c>
      <c r="M68" s="174">
        <f t="shared" ca="1" si="2"/>
        <v>0</v>
      </c>
      <c r="N68" s="174">
        <f t="shared" ca="1" si="2"/>
        <v>0</v>
      </c>
      <c r="O68" s="174">
        <f t="shared" ca="1" si="2"/>
        <v>0</v>
      </c>
      <c r="P68" s="176">
        <f ca="1">INT((MUL-INT(MUL))*$G$56)</f>
        <v>4</v>
      </c>
      <c r="Q68" s="176">
        <f ca="1">SUM(B68:P68)-HLOOKUP(INT(MUL+1),HPs_SPs_rolls_per_level,3,FALSE)</f>
        <v>52</v>
      </c>
      <c r="R68" s="20" t="s">
        <v>1234</v>
      </c>
      <c r="S68" s="20" t="s">
        <v>1425</v>
      </c>
      <c r="T68" s="20"/>
      <c r="U68" s="20"/>
      <c r="V68" s="20"/>
      <c r="W68" s="20"/>
      <c r="X68" s="20"/>
      <c r="Y68" s="20"/>
      <c r="Z68" s="20"/>
    </row>
    <row r="69" spans="1:26" x14ac:dyDescent="0.25">
      <c r="A69" s="173" t="s">
        <v>102</v>
      </c>
      <c r="B69" s="125">
        <f t="shared" ref="B69:O69" ca="1" si="3">(IF(ThL&gt;=B66,1,0)*(INT(1+4*RAND())))</f>
        <v>3</v>
      </c>
      <c r="C69" s="180">
        <f t="shared" ca="1" si="3"/>
        <v>2</v>
      </c>
      <c r="D69" s="175">
        <f t="shared" ca="1" si="3"/>
        <v>3</v>
      </c>
      <c r="E69" s="175">
        <f t="shared" ca="1" si="3"/>
        <v>0</v>
      </c>
      <c r="F69" s="175">
        <f t="shared" ca="1" si="3"/>
        <v>0</v>
      </c>
      <c r="G69" s="175">
        <f t="shared" ca="1" si="3"/>
        <v>0</v>
      </c>
      <c r="H69" s="175">
        <f t="shared" ca="1" si="3"/>
        <v>0</v>
      </c>
      <c r="I69" s="175">
        <f t="shared" ca="1" si="3"/>
        <v>0</v>
      </c>
      <c r="J69" s="175">
        <f t="shared" ca="1" si="3"/>
        <v>0</v>
      </c>
      <c r="K69" s="175">
        <f t="shared" ca="1" si="3"/>
        <v>0</v>
      </c>
      <c r="L69" s="175">
        <f t="shared" ca="1" si="3"/>
        <v>0</v>
      </c>
      <c r="M69" s="175">
        <f t="shared" ca="1" si="3"/>
        <v>0</v>
      </c>
      <c r="N69" s="175">
        <f t="shared" ca="1" si="3"/>
        <v>0</v>
      </c>
      <c r="O69" s="164">
        <f t="shared" ca="1" si="3"/>
        <v>0</v>
      </c>
      <c r="P69" s="177">
        <f ca="1">INT((ThL-INT(ThL))*$G$56)</f>
        <v>2</v>
      </c>
      <c r="Q69" s="178">
        <f ca="1">SUM(B69:P69)</f>
        <v>10</v>
      </c>
      <c r="R69" s="20" t="s">
        <v>1335</v>
      </c>
      <c r="S69" s="20" t="s">
        <v>1427</v>
      </c>
      <c r="T69" s="20"/>
      <c r="U69" s="20"/>
      <c r="V69" s="20"/>
      <c r="W69" s="20"/>
      <c r="X69" s="20"/>
      <c r="Y69" s="20"/>
      <c r="Z69" s="20"/>
    </row>
    <row r="70" spans="1:26" x14ac:dyDescent="0.25">
      <c r="A70" s="20"/>
      <c r="B70" s="20"/>
      <c r="C70" s="20"/>
      <c r="D70" s="20"/>
      <c r="E70" s="20"/>
      <c r="F70" s="20"/>
      <c r="G70" s="20"/>
      <c r="H70" s="20"/>
      <c r="I70" s="20"/>
      <c r="J70" s="20"/>
      <c r="K70" s="20"/>
      <c r="L70" s="20"/>
      <c r="M70" s="20"/>
      <c r="N70" s="20"/>
      <c r="O70" s="20"/>
      <c r="P70" s="20"/>
      <c r="Q70" s="20"/>
      <c r="R70" s="20" t="s">
        <v>1271</v>
      </c>
      <c r="S70" s="20" t="s">
        <v>1428</v>
      </c>
      <c r="T70" s="20"/>
      <c r="U70" s="20"/>
      <c r="V70" s="20"/>
      <c r="W70" s="20"/>
      <c r="X70" s="20"/>
      <c r="Y70" s="20"/>
      <c r="Z70" s="20"/>
    </row>
    <row r="71" spans="1:26" x14ac:dyDescent="0.25">
      <c r="A71" s="122"/>
      <c r="B71" s="20"/>
      <c r="C71" s="20"/>
      <c r="D71" s="122"/>
      <c r="E71" s="20"/>
      <c r="F71" s="20"/>
      <c r="G71" s="20"/>
      <c r="H71" s="20"/>
      <c r="I71" s="20"/>
      <c r="J71" s="20"/>
      <c r="K71" s="20"/>
      <c r="L71" s="20"/>
      <c r="M71" s="20"/>
      <c r="N71" s="20"/>
      <c r="O71" s="20"/>
      <c r="P71" s="20"/>
      <c r="Q71" s="20"/>
      <c r="R71" s="20" t="s">
        <v>1314</v>
      </c>
      <c r="S71" s="20" t="s">
        <v>1464</v>
      </c>
      <c r="T71" s="20"/>
      <c r="U71" s="20"/>
      <c r="V71" s="20"/>
      <c r="W71" s="20"/>
      <c r="X71" s="20"/>
      <c r="Y71" s="20"/>
      <c r="Z71" s="20"/>
    </row>
    <row r="72" spans="1:26" x14ac:dyDescent="0.25">
      <c r="A72" s="20"/>
      <c r="B72" s="20"/>
      <c r="C72" s="20"/>
      <c r="D72" s="20"/>
      <c r="E72" s="20"/>
      <c r="F72" s="20"/>
      <c r="G72" s="20"/>
      <c r="H72" s="20"/>
      <c r="I72" s="20"/>
      <c r="J72" s="20"/>
      <c r="K72" s="20"/>
      <c r="L72" s="20"/>
      <c r="M72" s="20"/>
      <c r="N72" s="20"/>
      <c r="O72" s="20"/>
      <c r="P72" s="20"/>
      <c r="Q72" s="20"/>
      <c r="R72" s="20" t="s">
        <v>1233</v>
      </c>
      <c r="S72" s="20" t="s">
        <v>1429</v>
      </c>
      <c r="T72" s="20"/>
      <c r="U72" s="20"/>
      <c r="V72" s="20"/>
      <c r="W72" s="20"/>
      <c r="X72" s="20"/>
      <c r="Y72" s="20"/>
      <c r="Z72" s="20"/>
    </row>
    <row r="73" spans="1:26" x14ac:dyDescent="0.25">
      <c r="A73" s="20"/>
      <c r="B73" s="20"/>
      <c r="C73" s="20"/>
      <c r="D73" s="20"/>
      <c r="E73" s="20"/>
      <c r="F73" s="20"/>
      <c r="G73" s="20"/>
      <c r="H73" s="20"/>
      <c r="I73" s="20"/>
      <c r="J73" s="20"/>
      <c r="K73" s="20"/>
      <c r="L73" s="20"/>
      <c r="M73" s="20"/>
      <c r="N73" s="20"/>
      <c r="O73" s="20"/>
      <c r="P73" s="20"/>
      <c r="Q73" s="20"/>
      <c r="R73" s="20" t="s">
        <v>1267</v>
      </c>
      <c r="S73" s="20" t="s">
        <v>1430</v>
      </c>
      <c r="T73" s="20"/>
      <c r="U73" s="20"/>
      <c r="V73" s="20"/>
      <c r="W73" s="20"/>
      <c r="X73" s="20"/>
      <c r="Y73" s="20"/>
      <c r="Z73" s="20"/>
    </row>
    <row r="74" spans="1:26" x14ac:dyDescent="0.25">
      <c r="A74" s="20"/>
      <c r="B74" s="20"/>
      <c r="C74" s="20"/>
      <c r="D74" s="20"/>
      <c r="E74" s="20"/>
      <c r="F74" s="20"/>
      <c r="G74" s="20"/>
      <c r="H74" s="36"/>
      <c r="I74" s="37"/>
      <c r="J74" s="20"/>
      <c r="K74" s="20"/>
      <c r="L74" s="20"/>
      <c r="M74" s="20"/>
      <c r="N74" s="20"/>
      <c r="O74" s="20"/>
      <c r="P74" s="20"/>
      <c r="Q74" s="20"/>
      <c r="R74" s="20" t="s">
        <v>1257</v>
      </c>
      <c r="S74" s="20" t="s">
        <v>1431</v>
      </c>
      <c r="T74" s="20"/>
      <c r="U74" s="20"/>
      <c r="V74" s="20"/>
      <c r="W74" s="20"/>
      <c r="X74" s="20"/>
      <c r="Y74" s="20"/>
      <c r="Z74" s="20"/>
    </row>
    <row r="75" spans="1:26" x14ac:dyDescent="0.25">
      <c r="A75" s="20"/>
      <c r="B75" s="20"/>
      <c r="C75" s="20"/>
      <c r="D75" s="20"/>
      <c r="E75" s="20"/>
      <c r="F75" s="20"/>
      <c r="G75" s="20"/>
      <c r="H75" s="36"/>
      <c r="I75" s="37"/>
      <c r="J75" s="20"/>
      <c r="K75" s="20"/>
      <c r="L75" s="20"/>
      <c r="M75" s="20"/>
      <c r="N75" s="20"/>
      <c r="O75" s="20"/>
      <c r="P75" s="20"/>
      <c r="Q75" s="20"/>
      <c r="R75" s="20" t="s">
        <v>1338</v>
      </c>
      <c r="S75" s="20" t="s">
        <v>1432</v>
      </c>
      <c r="T75" s="20"/>
      <c r="U75" s="20"/>
      <c r="V75" s="20"/>
      <c r="W75" s="20"/>
      <c r="X75" s="20"/>
      <c r="Y75" s="20"/>
      <c r="Z75" s="20"/>
    </row>
    <row r="76" spans="1:26" x14ac:dyDescent="0.25">
      <c r="A76" s="20"/>
      <c r="B76" s="20"/>
      <c r="C76" s="20"/>
      <c r="D76" s="20"/>
      <c r="E76" s="20"/>
      <c r="F76" s="20"/>
      <c r="G76" s="20"/>
      <c r="H76" s="20"/>
      <c r="I76" s="20"/>
      <c r="J76" s="20"/>
      <c r="K76" s="20"/>
      <c r="L76" s="20"/>
      <c r="M76" s="20"/>
      <c r="N76" s="20"/>
      <c r="O76" s="20"/>
      <c r="P76" s="20"/>
      <c r="Q76" s="20"/>
      <c r="R76" s="20" t="s">
        <v>1278</v>
      </c>
      <c r="S76" s="20" t="s">
        <v>1433</v>
      </c>
      <c r="T76" s="20"/>
      <c r="U76" s="20"/>
      <c r="V76" s="20"/>
      <c r="W76" s="20"/>
      <c r="X76" s="20"/>
      <c r="Y76" s="20"/>
      <c r="Z76" s="20"/>
    </row>
    <row r="77" spans="1:26" x14ac:dyDescent="0.25">
      <c r="A77" s="20"/>
      <c r="B77" s="20"/>
      <c r="C77" s="20"/>
      <c r="D77" s="20"/>
      <c r="E77" s="20"/>
      <c r="F77" s="20"/>
      <c r="G77" s="20"/>
      <c r="H77" s="20"/>
      <c r="I77" s="20"/>
      <c r="J77" s="20"/>
      <c r="K77" s="20"/>
      <c r="L77" s="20"/>
      <c r="M77" s="20"/>
      <c r="N77" s="20"/>
      <c r="O77" s="20"/>
      <c r="P77" s="20"/>
      <c r="Q77" s="20"/>
      <c r="R77" s="20" t="s">
        <v>1241</v>
      </c>
      <c r="S77" s="20" t="s">
        <v>1434</v>
      </c>
      <c r="T77" s="20"/>
      <c r="U77" s="20"/>
      <c r="V77" s="20"/>
      <c r="W77" s="20"/>
      <c r="X77" s="20"/>
      <c r="Y77" s="20"/>
      <c r="Z77" s="20"/>
    </row>
    <row r="78" spans="1:26" x14ac:dyDescent="0.25">
      <c r="A78" s="20"/>
      <c r="B78" s="20"/>
      <c r="C78" s="20"/>
      <c r="D78" s="20"/>
      <c r="E78" s="20"/>
      <c r="F78" s="20"/>
      <c r="G78" s="20"/>
      <c r="H78" s="20"/>
      <c r="I78" s="20"/>
      <c r="J78" s="20"/>
      <c r="K78" s="20"/>
      <c r="L78" s="20"/>
      <c r="M78" s="20"/>
      <c r="N78" s="20"/>
      <c r="O78" s="20"/>
      <c r="P78" s="20"/>
      <c r="Q78" s="20"/>
      <c r="R78" s="20" t="s">
        <v>1240</v>
      </c>
      <c r="S78" s="20" t="s">
        <v>1465</v>
      </c>
      <c r="T78" s="20"/>
      <c r="U78" s="20"/>
      <c r="V78" s="20"/>
      <c r="W78" s="20"/>
      <c r="X78" s="20"/>
      <c r="Y78" s="20"/>
      <c r="Z78" s="20"/>
    </row>
    <row r="79" spans="1:26" x14ac:dyDescent="0.25">
      <c r="A79" s="20"/>
      <c r="B79" s="20"/>
      <c r="C79" s="20"/>
      <c r="D79" s="20"/>
      <c r="E79" s="20"/>
      <c r="F79" s="20"/>
      <c r="G79" s="20"/>
      <c r="H79" s="20"/>
      <c r="I79" s="20"/>
      <c r="J79" s="20"/>
      <c r="K79" s="20"/>
      <c r="L79" s="20"/>
      <c r="M79" s="20"/>
      <c r="N79" s="20"/>
      <c r="O79" s="20"/>
      <c r="P79" s="20"/>
      <c r="Q79" s="20"/>
      <c r="R79" s="20" t="s">
        <v>1227</v>
      </c>
      <c r="S79" s="20" t="s">
        <v>1435</v>
      </c>
      <c r="T79" s="20"/>
      <c r="U79" s="20"/>
      <c r="V79" s="20"/>
      <c r="W79" s="20"/>
      <c r="X79" s="20"/>
      <c r="Y79" s="20"/>
      <c r="Z79" s="20"/>
    </row>
    <row r="80" spans="1:26" x14ac:dyDescent="0.25">
      <c r="A80" s="20"/>
      <c r="B80" s="20"/>
      <c r="C80" s="20"/>
      <c r="D80" s="20"/>
      <c r="E80" s="20"/>
      <c r="F80" s="20"/>
      <c r="G80" s="20"/>
      <c r="H80" s="36"/>
      <c r="I80" s="37"/>
      <c r="J80" s="20"/>
      <c r="K80" s="20"/>
      <c r="L80" s="20"/>
      <c r="M80" s="20"/>
      <c r="N80" s="20"/>
      <c r="O80" s="20"/>
      <c r="P80" s="20"/>
      <c r="Q80" s="20"/>
      <c r="R80" s="20" t="s">
        <v>1229</v>
      </c>
      <c r="S80" s="20" t="s">
        <v>1436</v>
      </c>
      <c r="T80" s="20"/>
      <c r="U80" s="20"/>
      <c r="V80" s="20"/>
      <c r="W80" s="20"/>
      <c r="X80" s="20"/>
      <c r="Y80" s="20"/>
      <c r="Z80" s="20"/>
    </row>
    <row r="81" spans="1:26" x14ac:dyDescent="0.25">
      <c r="A81" s="20"/>
      <c r="B81" s="20"/>
      <c r="C81" s="20"/>
      <c r="D81" s="20"/>
      <c r="E81" s="20"/>
      <c r="F81" s="20"/>
      <c r="G81" s="20"/>
      <c r="H81" s="36"/>
      <c r="I81" s="37"/>
      <c r="J81" s="20"/>
      <c r="K81" s="20"/>
      <c r="L81" s="20"/>
      <c r="M81" s="20"/>
      <c r="N81" s="20"/>
      <c r="O81" s="20"/>
      <c r="P81" s="20"/>
      <c r="Q81" s="20"/>
      <c r="R81" s="20" t="s">
        <v>1272</v>
      </c>
      <c r="S81" s="20" t="s">
        <v>1437</v>
      </c>
      <c r="T81" s="20"/>
      <c r="U81" s="20"/>
      <c r="V81" s="20"/>
      <c r="W81" s="20"/>
      <c r="X81" s="20"/>
      <c r="Y81" s="20"/>
      <c r="Z81" s="20"/>
    </row>
    <row r="82" spans="1:26" x14ac:dyDescent="0.25">
      <c r="A82" s="20"/>
      <c r="B82" s="20"/>
      <c r="C82" s="20"/>
      <c r="D82" s="20"/>
      <c r="E82" s="20"/>
      <c r="F82" s="20"/>
      <c r="G82" s="20"/>
      <c r="H82" s="20"/>
      <c r="I82" s="20"/>
      <c r="J82" s="20"/>
      <c r="K82" s="20"/>
      <c r="L82" s="20"/>
      <c r="M82" s="20"/>
      <c r="N82" s="20"/>
      <c r="O82" s="20"/>
      <c r="P82" s="20"/>
      <c r="Q82" s="20"/>
      <c r="R82" s="20" t="s">
        <v>1298</v>
      </c>
      <c r="S82" s="20" t="s">
        <v>1438</v>
      </c>
      <c r="T82" s="20"/>
      <c r="U82" s="20"/>
      <c r="V82" s="20"/>
      <c r="W82" s="20"/>
      <c r="X82" s="20"/>
      <c r="Y82" s="20"/>
      <c r="Z82" s="20"/>
    </row>
    <row r="83" spans="1:26" x14ac:dyDescent="0.25">
      <c r="A83" s="20"/>
      <c r="B83" s="20"/>
      <c r="C83" s="20"/>
      <c r="D83" s="20"/>
      <c r="E83" s="20"/>
      <c r="F83" s="20"/>
      <c r="G83" s="20"/>
      <c r="H83" s="20"/>
      <c r="I83" s="20"/>
      <c r="J83" s="20"/>
      <c r="K83" s="20"/>
      <c r="L83" s="20"/>
      <c r="M83" s="20"/>
      <c r="N83" s="20"/>
      <c r="O83" s="20"/>
      <c r="P83" s="20"/>
      <c r="Q83" s="20"/>
      <c r="R83" s="20" t="s">
        <v>1273</v>
      </c>
      <c r="S83" s="20" t="s">
        <v>1439</v>
      </c>
      <c r="T83" s="20"/>
      <c r="U83" s="20"/>
      <c r="V83" s="20"/>
      <c r="W83" s="20"/>
      <c r="X83" s="20"/>
      <c r="Y83" s="20"/>
      <c r="Z83" s="20"/>
    </row>
    <row r="84" spans="1:26" x14ac:dyDescent="0.25">
      <c r="A84" s="20"/>
      <c r="B84" s="20"/>
      <c r="C84" s="20"/>
      <c r="D84" s="20"/>
      <c r="E84" s="20"/>
      <c r="F84" s="20"/>
      <c r="G84" s="20"/>
      <c r="H84" s="20"/>
      <c r="I84" s="20"/>
      <c r="J84" s="20"/>
      <c r="K84" s="20"/>
      <c r="L84" s="20"/>
      <c r="M84" s="20"/>
      <c r="N84" s="20"/>
      <c r="O84" s="20"/>
      <c r="P84" s="20"/>
      <c r="Q84" s="20"/>
      <c r="R84" s="20" t="s">
        <v>1246</v>
      </c>
      <c r="S84" s="20" t="s">
        <v>1440</v>
      </c>
      <c r="T84" s="20"/>
      <c r="U84" s="20"/>
      <c r="V84" s="20"/>
      <c r="W84" s="20"/>
      <c r="X84" s="20"/>
      <c r="Y84" s="20"/>
      <c r="Z84" s="20"/>
    </row>
    <row r="85" spans="1:26" x14ac:dyDescent="0.25">
      <c r="A85" s="20"/>
      <c r="B85" s="20"/>
      <c r="C85" s="20"/>
      <c r="D85" s="20"/>
      <c r="E85" s="20"/>
      <c r="F85" s="20"/>
      <c r="G85" s="20"/>
      <c r="H85" s="20"/>
      <c r="I85" s="20"/>
      <c r="J85" s="20"/>
      <c r="K85" s="20"/>
      <c r="L85" s="20"/>
      <c r="M85" s="20"/>
      <c r="N85" s="20"/>
      <c r="O85" s="20"/>
      <c r="P85" s="20"/>
      <c r="Q85" s="20"/>
      <c r="R85" s="20" t="s">
        <v>1277</v>
      </c>
      <c r="S85" s="20" t="s">
        <v>1441</v>
      </c>
      <c r="T85" s="20"/>
      <c r="U85" s="20"/>
      <c r="V85" s="20"/>
      <c r="W85" s="20"/>
      <c r="X85" s="20"/>
      <c r="Y85" s="20"/>
      <c r="Z85" s="20"/>
    </row>
    <row r="86" spans="1:26" x14ac:dyDescent="0.25">
      <c r="A86" s="20"/>
      <c r="B86" s="20"/>
      <c r="C86" s="20"/>
      <c r="D86" s="20"/>
      <c r="E86" s="20"/>
      <c r="F86" s="20"/>
      <c r="G86" s="20"/>
      <c r="H86" s="20"/>
      <c r="I86" s="20"/>
      <c r="J86" s="20"/>
      <c r="K86" s="20"/>
      <c r="L86" s="20"/>
      <c r="M86" s="20"/>
      <c r="N86" s="20"/>
      <c r="O86" s="20"/>
      <c r="P86" s="20"/>
      <c r="Q86" s="20"/>
      <c r="R86" s="20" t="s">
        <v>1268</v>
      </c>
      <c r="S86" s="20" t="s">
        <v>1442</v>
      </c>
      <c r="T86" s="20"/>
      <c r="U86" s="20"/>
      <c r="V86" s="20"/>
      <c r="W86" s="20"/>
      <c r="X86" s="20"/>
      <c r="Y86" s="20"/>
      <c r="Z86" s="20"/>
    </row>
    <row r="87" spans="1:26" x14ac:dyDescent="0.25">
      <c r="A87" s="20"/>
      <c r="B87" s="20"/>
      <c r="C87" s="20"/>
      <c r="D87" s="20"/>
      <c r="E87" s="20"/>
      <c r="F87" s="20"/>
      <c r="G87" s="20"/>
      <c r="H87" s="20"/>
      <c r="I87" s="20"/>
      <c r="J87" s="20"/>
      <c r="K87" s="20"/>
      <c r="L87" s="20"/>
      <c r="M87" s="20"/>
      <c r="N87" s="20"/>
      <c r="O87" s="20"/>
      <c r="P87" s="20"/>
      <c r="Q87" s="20"/>
      <c r="R87" s="20" t="s">
        <v>1329</v>
      </c>
      <c r="S87" s="20" t="s">
        <v>1443</v>
      </c>
      <c r="T87" s="20"/>
      <c r="U87" s="20"/>
      <c r="V87" s="20"/>
      <c r="W87" s="20"/>
      <c r="X87" s="20"/>
      <c r="Y87" s="20"/>
      <c r="Z87" s="20"/>
    </row>
    <row r="88" spans="1:26" x14ac:dyDescent="0.25">
      <c r="I88" s="20"/>
      <c r="J88" s="20"/>
      <c r="K88" s="20"/>
      <c r="L88" s="20"/>
      <c r="M88" s="20"/>
      <c r="N88" s="20"/>
      <c r="O88" s="20"/>
      <c r="P88" s="20"/>
      <c r="Q88" s="20"/>
      <c r="R88" s="20" t="s">
        <v>1248</v>
      </c>
      <c r="S88" s="20" t="s">
        <v>1444</v>
      </c>
      <c r="T88" s="20"/>
      <c r="U88" s="20"/>
      <c r="V88" s="20"/>
      <c r="W88" s="20"/>
      <c r="X88" s="20"/>
      <c r="Y88" s="20"/>
      <c r="Z88" s="20"/>
    </row>
    <row r="89" spans="1:26" x14ac:dyDescent="0.25">
      <c r="I89" s="20"/>
      <c r="J89" s="20"/>
      <c r="K89" s="20"/>
      <c r="L89" s="20"/>
      <c r="M89" s="20"/>
      <c r="N89" s="20"/>
      <c r="O89" s="20"/>
      <c r="P89" s="20"/>
      <c r="Q89" s="20"/>
      <c r="R89" s="20" t="s">
        <v>1319</v>
      </c>
      <c r="S89" s="20" t="s">
        <v>1445</v>
      </c>
      <c r="T89" s="20"/>
      <c r="U89" s="20"/>
      <c r="V89" s="20"/>
      <c r="W89" s="20"/>
      <c r="X89" s="20"/>
      <c r="Y89" s="20"/>
      <c r="Z89" s="20"/>
    </row>
    <row r="90" spans="1:26" x14ac:dyDescent="0.25">
      <c r="I90" s="20"/>
      <c r="J90" s="20"/>
      <c r="K90" s="20"/>
      <c r="L90" s="20"/>
      <c r="M90" s="20"/>
      <c r="N90" s="20"/>
      <c r="O90" s="20"/>
      <c r="P90" s="20"/>
      <c r="Q90" s="20"/>
      <c r="R90" s="20" t="s">
        <v>1274</v>
      </c>
      <c r="S90" s="20" t="s">
        <v>1476</v>
      </c>
      <c r="T90" s="20"/>
      <c r="U90" s="20"/>
      <c r="V90" s="20"/>
      <c r="W90" s="20"/>
      <c r="X90" s="20"/>
      <c r="Y90" s="20"/>
      <c r="Z90" s="20"/>
    </row>
    <row r="91" spans="1:26" x14ac:dyDescent="0.25">
      <c r="I91" s="20"/>
      <c r="J91" s="20"/>
      <c r="K91" s="20"/>
      <c r="L91" s="20"/>
      <c r="M91" s="20"/>
      <c r="N91" s="20"/>
      <c r="O91" s="20"/>
      <c r="P91" s="20"/>
      <c r="Q91" s="20"/>
      <c r="R91" s="20" t="s">
        <v>1293</v>
      </c>
      <c r="S91" s="20" t="s">
        <v>1447</v>
      </c>
      <c r="T91" s="20"/>
      <c r="U91" s="20"/>
      <c r="V91" s="20"/>
      <c r="W91" s="20"/>
      <c r="X91" s="20"/>
      <c r="Y91" s="20"/>
      <c r="Z91" s="20"/>
    </row>
    <row r="92" spans="1:26" x14ac:dyDescent="0.25">
      <c r="I92" s="20"/>
      <c r="J92" s="20"/>
      <c r="K92" s="20"/>
      <c r="L92" s="20"/>
      <c r="M92" s="20"/>
      <c r="N92" s="20"/>
      <c r="O92" s="20"/>
      <c r="P92" s="20"/>
      <c r="Q92" s="20"/>
      <c r="R92" s="20" t="s">
        <v>1388</v>
      </c>
      <c r="S92" s="20" t="s">
        <v>1467</v>
      </c>
      <c r="T92" s="20"/>
      <c r="U92" s="20"/>
      <c r="V92" s="20"/>
      <c r="W92" s="20"/>
      <c r="X92" s="20"/>
      <c r="Y92" s="20"/>
      <c r="Z92" s="20"/>
    </row>
    <row r="93" spans="1:26" x14ac:dyDescent="0.25">
      <c r="I93" s="20"/>
      <c r="J93" s="20"/>
      <c r="K93" s="20"/>
      <c r="L93" s="20"/>
      <c r="M93" s="20"/>
      <c r="N93" s="20"/>
      <c r="O93" s="20"/>
      <c r="P93" s="20"/>
      <c r="Q93" s="20"/>
      <c r="R93" s="20" t="s">
        <v>1294</v>
      </c>
      <c r="S93" s="20" t="s">
        <v>1415</v>
      </c>
      <c r="T93" s="20"/>
      <c r="U93" s="20"/>
      <c r="V93" s="20"/>
      <c r="W93" s="20"/>
      <c r="X93" s="20"/>
      <c r="Y93" s="20"/>
      <c r="Z93" s="20"/>
    </row>
    <row r="94" spans="1:26" x14ac:dyDescent="0.25">
      <c r="I94" s="20"/>
      <c r="J94" s="20"/>
      <c r="K94" s="20"/>
      <c r="L94" s="20"/>
      <c r="M94" s="20"/>
      <c r="N94" s="20"/>
      <c r="O94" s="20"/>
      <c r="P94" s="20"/>
      <c r="Q94" s="20"/>
      <c r="R94" s="20" t="s">
        <v>1281</v>
      </c>
      <c r="S94" s="20" t="s">
        <v>1477</v>
      </c>
      <c r="T94" s="20"/>
      <c r="U94" s="20"/>
      <c r="V94" s="20"/>
      <c r="W94" s="20"/>
      <c r="X94" s="20"/>
      <c r="Y94" s="20"/>
      <c r="Z94" s="20"/>
    </row>
    <row r="95" spans="1:26" x14ac:dyDescent="0.25">
      <c r="I95" s="20"/>
      <c r="J95" s="20"/>
      <c r="K95" s="20"/>
      <c r="L95" s="20"/>
      <c r="M95" s="20"/>
      <c r="N95" s="20"/>
      <c r="O95" s="20"/>
      <c r="P95" s="20"/>
      <c r="Q95" s="20"/>
      <c r="R95" s="20" t="s">
        <v>1269</v>
      </c>
      <c r="S95" s="20" t="s">
        <v>1478</v>
      </c>
      <c r="T95" s="20"/>
      <c r="U95" s="20"/>
      <c r="V95" s="20"/>
      <c r="W95" s="20"/>
      <c r="X95" s="20"/>
      <c r="Y95" s="20"/>
      <c r="Z95" s="20"/>
    </row>
    <row r="96" spans="1:26" x14ac:dyDescent="0.25">
      <c r="I96" s="20"/>
      <c r="J96" s="20"/>
      <c r="K96" s="20"/>
      <c r="L96" s="20"/>
      <c r="M96" s="20"/>
      <c r="N96" s="20"/>
      <c r="O96" s="20"/>
      <c r="P96" s="20"/>
      <c r="Q96" s="20"/>
      <c r="R96" s="20" t="s">
        <v>1396</v>
      </c>
      <c r="S96" s="20" t="s">
        <v>1480</v>
      </c>
      <c r="T96" s="20"/>
      <c r="U96" s="20"/>
      <c r="V96" s="20"/>
      <c r="W96" s="20"/>
      <c r="X96" s="20"/>
      <c r="Y96" s="20"/>
      <c r="Z96" s="20"/>
    </row>
    <row r="97" spans="10:26" x14ac:dyDescent="0.25">
      <c r="J97" s="20"/>
      <c r="K97" s="20"/>
      <c r="L97" s="20"/>
      <c r="M97" s="20"/>
      <c r="N97" s="20"/>
      <c r="O97" s="20"/>
      <c r="P97" s="20"/>
      <c r="Q97" s="20"/>
      <c r="R97" s="20" t="s">
        <v>1270</v>
      </c>
      <c r="S97" s="20" t="s">
        <v>1475</v>
      </c>
      <c r="T97" s="20"/>
      <c r="U97" s="20"/>
      <c r="V97" s="20"/>
      <c r="W97" s="20"/>
      <c r="X97" s="20"/>
      <c r="Y97" s="20"/>
      <c r="Z97" s="20"/>
    </row>
    <row r="98" spans="10:26" x14ac:dyDescent="0.25">
      <c r="J98" s="20"/>
      <c r="K98" s="20"/>
      <c r="L98" s="20"/>
      <c r="M98" s="20"/>
      <c r="N98" s="20"/>
      <c r="O98" s="20"/>
      <c r="P98" s="20"/>
      <c r="Q98" s="20"/>
      <c r="R98" s="20" t="s">
        <v>1275</v>
      </c>
      <c r="S98" s="20" t="s">
        <v>1446</v>
      </c>
      <c r="T98" s="20"/>
      <c r="U98" s="20"/>
      <c r="V98" s="20"/>
      <c r="W98" s="20"/>
      <c r="X98" s="20"/>
      <c r="Y98" s="20"/>
      <c r="Z98" s="20"/>
    </row>
    <row r="99" spans="10:26" x14ac:dyDescent="0.25">
      <c r="J99" s="20"/>
      <c r="K99" s="20"/>
      <c r="L99" s="20"/>
      <c r="M99" s="20"/>
      <c r="N99" s="20"/>
      <c r="O99" s="20"/>
      <c r="P99" s="20"/>
      <c r="Q99" s="20"/>
      <c r="R99" s="20" t="s">
        <v>1392</v>
      </c>
      <c r="S99" s="20" t="s">
        <v>1447</v>
      </c>
      <c r="T99" s="20"/>
      <c r="U99" s="20"/>
      <c r="V99" s="20"/>
      <c r="W99" s="20"/>
      <c r="X99" s="20"/>
      <c r="Y99" s="20"/>
      <c r="Z99" s="20"/>
    </row>
    <row r="100" spans="10:26" x14ac:dyDescent="0.25">
      <c r="J100" s="20"/>
      <c r="K100" s="20"/>
      <c r="L100" s="20"/>
      <c r="M100" s="20"/>
      <c r="N100" s="20"/>
      <c r="O100" s="20"/>
      <c r="P100" s="20"/>
      <c r="Q100" s="20"/>
      <c r="R100" s="20" t="s">
        <v>1262</v>
      </c>
      <c r="S100" s="20" t="s">
        <v>1449</v>
      </c>
      <c r="T100" s="20"/>
      <c r="U100" s="20"/>
      <c r="V100" s="20"/>
      <c r="W100" s="20"/>
      <c r="X100" s="20"/>
      <c r="Y100" s="20"/>
      <c r="Z100" s="20"/>
    </row>
    <row r="101" spans="10:26" x14ac:dyDescent="0.25">
      <c r="J101" s="20"/>
      <c r="K101" s="20"/>
      <c r="L101" s="20"/>
      <c r="M101" s="20"/>
      <c r="N101" s="20"/>
      <c r="O101" s="20"/>
      <c r="P101" s="20"/>
      <c r="Q101" s="20"/>
      <c r="R101" s="20" t="s">
        <v>1258</v>
      </c>
      <c r="S101" s="20" t="s">
        <v>1448</v>
      </c>
      <c r="T101" s="20"/>
      <c r="U101" s="20"/>
      <c r="V101" s="20"/>
      <c r="W101" s="20"/>
      <c r="X101" s="20"/>
      <c r="Y101" s="20"/>
      <c r="Z101" s="20"/>
    </row>
    <row r="102" spans="10:26" x14ac:dyDescent="0.25">
      <c r="J102" s="20"/>
      <c r="K102" s="20"/>
      <c r="L102" s="20"/>
      <c r="M102" s="20"/>
      <c r="N102" s="20"/>
      <c r="O102" s="20"/>
      <c r="P102" s="20"/>
      <c r="Q102" s="20"/>
      <c r="R102" s="20" t="s">
        <v>1259</v>
      </c>
      <c r="S102" s="20" t="s">
        <v>1468</v>
      </c>
      <c r="T102" s="20"/>
      <c r="U102" s="20"/>
      <c r="V102" s="20"/>
      <c r="W102" s="20"/>
      <c r="X102" s="20"/>
      <c r="Y102" s="20"/>
      <c r="Z102" s="20"/>
    </row>
    <row r="103" spans="10:26" x14ac:dyDescent="0.25">
      <c r="J103" s="20"/>
      <c r="K103" s="20"/>
      <c r="L103" s="20"/>
      <c r="M103" s="20"/>
      <c r="N103" s="20"/>
      <c r="O103" s="20"/>
      <c r="P103" s="20"/>
      <c r="Q103" s="20"/>
      <c r="R103" s="20" t="s">
        <v>1263</v>
      </c>
      <c r="S103" s="20" t="s">
        <v>1450</v>
      </c>
      <c r="T103" s="20"/>
      <c r="U103" s="20"/>
      <c r="V103" s="20"/>
      <c r="W103" s="20"/>
      <c r="X103" s="20"/>
      <c r="Y103" s="20"/>
      <c r="Z103" s="20"/>
    </row>
    <row r="104" spans="10:26" x14ac:dyDescent="0.25">
      <c r="J104" s="20"/>
      <c r="K104" s="20"/>
      <c r="L104" s="20"/>
      <c r="M104" s="20"/>
      <c r="N104" s="20"/>
      <c r="O104" s="20"/>
      <c r="P104" s="20"/>
      <c r="Q104" s="20"/>
      <c r="R104" s="20" t="s">
        <v>1398</v>
      </c>
      <c r="S104" s="20" t="s">
        <v>1469</v>
      </c>
      <c r="T104" s="20"/>
      <c r="U104" s="20"/>
      <c r="V104" s="20"/>
      <c r="W104" s="20"/>
      <c r="X104" s="20"/>
      <c r="Y104" s="20"/>
      <c r="Z104" s="20"/>
    </row>
    <row r="105" spans="10:26" x14ac:dyDescent="0.25">
      <c r="J105" s="20"/>
      <c r="K105" s="20"/>
      <c r="L105" s="20"/>
      <c r="M105" s="20"/>
      <c r="N105" s="20"/>
      <c r="O105" s="20"/>
      <c r="P105" s="20"/>
      <c r="Q105" s="20"/>
      <c r="R105" s="20" t="s">
        <v>1260</v>
      </c>
      <c r="S105" s="20" t="s">
        <v>1470</v>
      </c>
      <c r="T105" s="20"/>
      <c r="U105" s="20"/>
      <c r="V105" s="20"/>
      <c r="W105" s="20"/>
      <c r="X105" s="20"/>
      <c r="Y105" s="20"/>
      <c r="Z105" s="20"/>
    </row>
    <row r="106" spans="10:26" x14ac:dyDescent="0.25">
      <c r="J106" s="20"/>
      <c r="K106" s="20"/>
      <c r="L106" s="20"/>
      <c r="M106" s="20"/>
      <c r="N106" s="20"/>
      <c r="O106" s="20"/>
      <c r="P106" s="20"/>
      <c r="Q106" s="20"/>
      <c r="R106" s="20" t="s">
        <v>1261</v>
      </c>
      <c r="S106" s="20" t="s">
        <v>1451</v>
      </c>
      <c r="T106" s="20"/>
      <c r="U106" s="20"/>
      <c r="V106" s="20"/>
      <c r="W106" s="20"/>
      <c r="X106" s="20"/>
      <c r="Y106" s="20"/>
      <c r="Z106" s="20"/>
    </row>
    <row r="107" spans="10:26" x14ac:dyDescent="0.25">
      <c r="J107" s="20"/>
      <c r="K107" s="20"/>
      <c r="L107" s="20"/>
      <c r="M107" s="20"/>
      <c r="N107" s="20"/>
      <c r="O107" s="20"/>
      <c r="P107" s="20"/>
      <c r="Q107" s="20"/>
      <c r="R107" s="20" t="s">
        <v>1295</v>
      </c>
      <c r="S107" s="20" t="s">
        <v>1479</v>
      </c>
      <c r="T107" s="20"/>
      <c r="U107" s="20"/>
      <c r="V107" s="20"/>
      <c r="W107" s="20"/>
      <c r="X107" s="20"/>
      <c r="Y107" s="20"/>
      <c r="Z107" s="20"/>
    </row>
    <row r="108" spans="10:26" x14ac:dyDescent="0.25">
      <c r="J108" s="20"/>
      <c r="K108" s="20"/>
      <c r="L108" s="20"/>
      <c r="M108" s="20"/>
      <c r="N108" s="20"/>
      <c r="O108" s="20"/>
      <c r="P108" s="20"/>
      <c r="Q108" s="20"/>
      <c r="R108" s="20" t="s">
        <v>1236</v>
      </c>
      <c r="S108" s="20" t="s">
        <v>43</v>
      </c>
      <c r="T108" s="20"/>
      <c r="U108" s="20"/>
      <c r="V108" s="20"/>
      <c r="W108" s="20"/>
      <c r="X108" s="20"/>
      <c r="Y108" s="20"/>
      <c r="Z108" s="20"/>
    </row>
    <row r="109" spans="10:26" x14ac:dyDescent="0.25">
      <c r="J109" s="20"/>
      <c r="K109" s="20"/>
      <c r="L109" s="20"/>
      <c r="M109" s="20"/>
      <c r="N109" s="20"/>
      <c r="O109" s="20"/>
      <c r="P109" s="20"/>
      <c r="Q109" s="20"/>
      <c r="R109" s="20" t="s">
        <v>1276</v>
      </c>
      <c r="S109" s="20" t="s">
        <v>1471</v>
      </c>
      <c r="T109" s="20"/>
      <c r="U109" s="20"/>
      <c r="V109" s="20"/>
      <c r="W109" s="20"/>
      <c r="X109" s="20"/>
      <c r="Y109" s="20"/>
      <c r="Z109" s="20"/>
    </row>
    <row r="110" spans="10:26" x14ac:dyDescent="0.25">
      <c r="J110" s="20"/>
      <c r="K110" s="20"/>
      <c r="L110" s="20"/>
      <c r="M110" s="20"/>
      <c r="N110" s="20"/>
      <c r="O110" s="20"/>
      <c r="P110" s="20"/>
      <c r="Q110" s="20"/>
      <c r="R110" s="20" t="s">
        <v>1337</v>
      </c>
      <c r="S110" s="20" t="s">
        <v>1452</v>
      </c>
      <c r="T110" s="20"/>
      <c r="U110" s="20"/>
      <c r="V110" s="20"/>
      <c r="W110" s="20"/>
      <c r="X110" s="20"/>
      <c r="Y110" s="20"/>
      <c r="Z110" s="20"/>
    </row>
    <row r="111" spans="10:26" x14ac:dyDescent="0.25">
      <c r="J111" s="20"/>
      <c r="K111" s="20"/>
      <c r="L111" s="20"/>
      <c r="M111" s="20"/>
      <c r="N111" s="20"/>
      <c r="O111" s="20"/>
      <c r="P111" s="20"/>
      <c r="Q111" s="20"/>
      <c r="R111" s="20" t="s">
        <v>1256</v>
      </c>
      <c r="S111" s="20" t="s">
        <v>1463</v>
      </c>
      <c r="T111" s="20"/>
      <c r="U111" s="20"/>
      <c r="V111" s="20"/>
      <c r="W111" s="20"/>
      <c r="X111" s="20"/>
      <c r="Y111" s="20"/>
      <c r="Z111" s="20"/>
    </row>
    <row r="112" spans="10:26" x14ac:dyDescent="0.25">
      <c r="J112" s="20"/>
      <c r="K112" s="20"/>
      <c r="L112" s="20"/>
      <c r="M112" s="20"/>
      <c r="N112" s="20"/>
      <c r="O112" s="20"/>
      <c r="P112" s="20"/>
      <c r="Q112" s="20"/>
      <c r="R112" s="20" t="s">
        <v>1280</v>
      </c>
      <c r="S112" s="20" t="s">
        <v>1454</v>
      </c>
      <c r="T112" s="20"/>
      <c r="U112" s="20"/>
      <c r="V112" s="20"/>
      <c r="W112" s="20"/>
      <c r="X112" s="20"/>
      <c r="Y112" s="20"/>
      <c r="Z112" s="20"/>
    </row>
    <row r="113" spans="10:26" x14ac:dyDescent="0.25">
      <c r="J113" s="20"/>
      <c r="K113" s="20"/>
      <c r="L113" s="20"/>
      <c r="M113" s="20"/>
      <c r="N113" s="20"/>
      <c r="O113" s="20"/>
      <c r="P113" s="20"/>
      <c r="Q113" s="20"/>
      <c r="R113" s="20" t="s">
        <v>1282</v>
      </c>
      <c r="S113" s="20" t="s">
        <v>1453</v>
      </c>
      <c r="T113" s="20"/>
      <c r="U113" s="20"/>
      <c r="V113" s="20"/>
      <c r="W113" s="20"/>
      <c r="X113" s="20"/>
      <c r="Y113" s="20"/>
      <c r="Z113" s="20"/>
    </row>
    <row r="114" spans="10:26" x14ac:dyDescent="0.25">
      <c r="J114" s="20"/>
      <c r="K114" s="20"/>
      <c r="L114" s="20"/>
      <c r="M114" s="20"/>
      <c r="N114" s="20"/>
      <c r="O114" s="20"/>
      <c r="P114" s="20"/>
      <c r="Q114" s="20"/>
      <c r="R114" s="20" t="s">
        <v>1299</v>
      </c>
      <c r="S114" s="20" t="s">
        <v>1446</v>
      </c>
      <c r="T114" s="20"/>
      <c r="U114" s="20"/>
      <c r="V114" s="20"/>
      <c r="W114" s="20"/>
      <c r="X114" s="20"/>
      <c r="Y114" s="20"/>
      <c r="Z114" s="20"/>
    </row>
    <row r="115" spans="10:26" x14ac:dyDescent="0.25">
      <c r="J115" s="20"/>
      <c r="K115" s="20"/>
      <c r="L115" s="20"/>
      <c r="M115" s="20"/>
      <c r="N115" s="20"/>
      <c r="O115" s="20"/>
      <c r="P115" s="20"/>
      <c r="Q115" s="20"/>
      <c r="R115" s="20" t="s">
        <v>1251</v>
      </c>
      <c r="S115" s="20" t="s">
        <v>1456</v>
      </c>
      <c r="T115" s="20"/>
      <c r="U115" s="20"/>
      <c r="V115" s="20"/>
      <c r="W115" s="20"/>
      <c r="X115" s="20"/>
      <c r="Y115" s="20"/>
      <c r="Z115" s="20"/>
    </row>
    <row r="116" spans="10:26" x14ac:dyDescent="0.25">
      <c r="J116" s="20"/>
      <c r="K116" s="20"/>
      <c r="L116" s="20"/>
      <c r="M116" s="20"/>
      <c r="N116" s="20"/>
      <c r="O116" s="20"/>
      <c r="P116" s="20"/>
      <c r="Q116" s="20"/>
      <c r="R116" s="20" t="s">
        <v>1313</v>
      </c>
      <c r="S116" s="20" t="s">
        <v>1455</v>
      </c>
      <c r="T116" s="20"/>
      <c r="U116" s="20"/>
      <c r="V116" s="20"/>
      <c r="W116" s="20"/>
      <c r="X116" s="20"/>
      <c r="Y116" s="20"/>
      <c r="Z116" s="20"/>
    </row>
    <row r="117" spans="10:26" x14ac:dyDescent="0.25">
      <c r="J117" s="20"/>
      <c r="K117" s="20"/>
      <c r="L117" s="20"/>
      <c r="M117" s="20"/>
      <c r="N117" s="20"/>
      <c r="O117" s="20"/>
      <c r="P117" s="20"/>
      <c r="Q117" s="20"/>
      <c r="R117" s="20" t="s">
        <v>1232</v>
      </c>
      <c r="S117" s="20" t="s">
        <v>1457</v>
      </c>
      <c r="T117" s="20"/>
      <c r="U117" s="20"/>
      <c r="V117" s="20"/>
      <c r="W117" s="20"/>
      <c r="X117" s="20"/>
      <c r="Y117" s="20"/>
      <c r="Z117" s="20"/>
    </row>
    <row r="118" spans="10:26" x14ac:dyDescent="0.25">
      <c r="J118" s="20"/>
      <c r="K118" s="20"/>
      <c r="L118" s="20"/>
      <c r="M118" s="20"/>
      <c r="N118" s="20"/>
      <c r="O118" s="20"/>
      <c r="P118" s="20"/>
      <c r="Q118" s="20"/>
      <c r="R118" s="20" t="s">
        <v>1245</v>
      </c>
      <c r="S118" s="20" t="s">
        <v>1419</v>
      </c>
      <c r="T118" s="20"/>
      <c r="U118" s="20"/>
      <c r="V118" s="20"/>
      <c r="W118" s="20"/>
      <c r="X118" s="20"/>
      <c r="Y118" s="20"/>
      <c r="Z118" s="20"/>
    </row>
    <row r="119" spans="10:26" x14ac:dyDescent="0.25">
      <c r="J119" s="20"/>
      <c r="K119" s="20"/>
      <c r="L119" s="20"/>
      <c r="M119" s="20"/>
      <c r="N119" s="20"/>
      <c r="O119" s="20"/>
      <c r="P119" s="20"/>
      <c r="Q119" s="20"/>
      <c r="R119" s="20" t="s">
        <v>1254</v>
      </c>
      <c r="S119" s="20" t="s">
        <v>1458</v>
      </c>
      <c r="T119" s="20"/>
      <c r="U119" s="20"/>
      <c r="V119" s="20"/>
      <c r="W119" s="20"/>
      <c r="X119" s="20"/>
      <c r="Y119" s="20"/>
      <c r="Z119" s="20"/>
    </row>
    <row r="120" spans="10:26" x14ac:dyDescent="0.25">
      <c r="J120" s="20"/>
      <c r="K120" s="20"/>
      <c r="L120" s="20"/>
      <c r="M120" s="20"/>
      <c r="N120" s="20"/>
      <c r="O120" s="20"/>
      <c r="P120" s="20"/>
      <c r="Q120" s="20"/>
      <c r="R120" s="20" t="s">
        <v>1301</v>
      </c>
      <c r="S120" s="20" t="s">
        <v>1459</v>
      </c>
      <c r="T120" s="20"/>
      <c r="U120" s="20"/>
      <c r="V120" s="20"/>
      <c r="W120" s="20"/>
      <c r="X120" s="20"/>
      <c r="Y120" s="20"/>
      <c r="Z120" s="20"/>
    </row>
    <row r="121" spans="10:26" x14ac:dyDescent="0.25">
      <c r="J121" s="20"/>
      <c r="K121" s="20"/>
      <c r="L121" s="20"/>
      <c r="M121" s="20"/>
      <c r="N121" s="20"/>
      <c r="O121" s="20"/>
      <c r="P121" s="20"/>
      <c r="Q121" s="20"/>
      <c r="R121" s="20" t="s">
        <v>1252</v>
      </c>
      <c r="S121" s="20" t="s">
        <v>1460</v>
      </c>
      <c r="T121" s="20"/>
      <c r="U121" s="20"/>
      <c r="V121" s="20"/>
      <c r="W121" s="20"/>
      <c r="X121" s="20"/>
      <c r="Y121" s="20"/>
      <c r="Z121" s="20"/>
    </row>
    <row r="122" spans="10:26" x14ac:dyDescent="0.25">
      <c r="J122" s="20"/>
      <c r="K122" s="20"/>
      <c r="L122" s="20"/>
      <c r="M122" s="20"/>
      <c r="N122" s="20"/>
      <c r="O122" s="20"/>
      <c r="P122" s="20"/>
      <c r="Q122" s="20"/>
      <c r="R122" s="20" t="s">
        <v>1279</v>
      </c>
      <c r="S122" s="20" t="s">
        <v>1459</v>
      </c>
      <c r="T122" s="20"/>
      <c r="U122" s="20"/>
      <c r="V122" s="20"/>
      <c r="W122" s="20"/>
      <c r="X122" s="20"/>
      <c r="Y122" s="20"/>
      <c r="Z122" s="20"/>
    </row>
    <row r="123" spans="10:26" x14ac:dyDescent="0.25">
      <c r="J123" s="20"/>
      <c r="K123" s="20"/>
      <c r="L123" s="20"/>
      <c r="M123" s="20"/>
      <c r="N123" s="20"/>
      <c r="O123" s="20"/>
      <c r="P123" s="20"/>
      <c r="Q123" s="20"/>
      <c r="R123" s="20" t="s">
        <v>1332</v>
      </c>
      <c r="S123" s="20" t="s">
        <v>1461</v>
      </c>
      <c r="T123" s="20"/>
      <c r="U123" s="20"/>
      <c r="V123" s="20"/>
      <c r="W123" s="20"/>
      <c r="X123" s="20"/>
      <c r="Y123" s="20"/>
      <c r="Z123" s="20"/>
    </row>
    <row r="124" spans="10:26" x14ac:dyDescent="0.25">
      <c r="R124" s="20" t="s">
        <v>1249</v>
      </c>
      <c r="S124" s="20" t="s">
        <v>1462</v>
      </c>
    </row>
  </sheetData>
  <dataValidations count="4">
    <dataValidation type="list" allowBlank="1" showInputMessage="1" showErrorMessage="1" sqref="C5" xr:uid="{00000000-0002-0000-0000-000000000000}">
      <formula1>I40:I63</formula1>
    </dataValidation>
    <dataValidation type="list" allowBlank="1" showInputMessage="1" showErrorMessage="1" sqref="F5" xr:uid="{00000000-0002-0000-0000-000002000000}">
      <formula1>"Male,Female"</formula1>
    </dataValidation>
    <dataValidation type="list" allowBlank="1" showInputMessage="1" showErrorMessage="1" sqref="H4 D22" xr:uid="{00000000-0002-0000-0000-000001000000}">
      <formula1>"Yes,No"</formula1>
    </dataValidation>
    <dataValidation type="list" allowBlank="1" showInputMessage="1" showErrorMessage="1" sqref="I16" xr:uid="{39771716-66E8-4F2C-AFDB-EC0394C6366F}">
      <formula1>$R$39:$R$124</formula1>
    </dataValidation>
  </dataValidations>
  <pageMargins left="0.7" right="0.7" top="0.75" bottom="0.75" header="0.3" footer="0.3"/>
  <pageSetup paperSize="9" orientation="portrait" horizontalDpi="0" verticalDpi="0"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13BE2-EE6B-4E87-B980-DCC6B4044660}">
  <sheetPr>
    <tabColor theme="0" tint="-4.9989318521683403E-2"/>
  </sheetPr>
  <dimension ref="A1:A2"/>
  <sheetViews>
    <sheetView workbookViewId="0">
      <selection activeCell="A3" sqref="A3"/>
    </sheetView>
  </sheetViews>
  <sheetFormatPr defaultRowHeight="15.75" x14ac:dyDescent="0.25"/>
  <cols>
    <col min="2" max="2" width="13.5" customWidth="1"/>
  </cols>
  <sheetData>
    <row r="1" spans="1:1" ht="18.75" x14ac:dyDescent="0.3">
      <c r="A1" s="194" t="s">
        <v>1191</v>
      </c>
    </row>
    <row r="2" spans="1:1" x14ac:dyDescent="0.25">
      <c r="A2" t="str">
        <f>Name</f>
        <v>Name</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71580-53CA-488E-A496-D0FBD558A9BF}">
  <sheetPr>
    <tabColor theme="1" tint="4.9989318521683403E-2"/>
  </sheetPr>
  <dimension ref="A1:P109"/>
  <sheetViews>
    <sheetView workbookViewId="0"/>
  </sheetViews>
  <sheetFormatPr defaultColWidth="9" defaultRowHeight="12.75" x14ac:dyDescent="0.2"/>
  <cols>
    <col min="1" max="1" width="16.5" style="54" customWidth="1"/>
    <col min="2" max="2" width="27.875" style="54" bestFit="1" customWidth="1"/>
    <col min="3" max="3" width="9.125" style="54" customWidth="1"/>
    <col min="4" max="4" width="4.25" style="110" customWidth="1"/>
    <col min="5" max="5" width="4.375" style="110" customWidth="1"/>
    <col min="6" max="6" width="4.125" style="110" customWidth="1"/>
    <col min="7" max="7" width="6.75" style="110" customWidth="1"/>
    <col min="8" max="8" width="7.75" style="110" customWidth="1"/>
    <col min="9" max="9" width="7.875" style="110" customWidth="1"/>
    <col min="10" max="10" width="7.375" style="110" customWidth="1"/>
    <col min="11" max="11" width="5.5" style="110" customWidth="1"/>
    <col min="12" max="13" width="9" style="110"/>
    <col min="14" max="14" width="10.375" style="110" customWidth="1"/>
    <col min="15" max="15" width="7" style="110" customWidth="1"/>
    <col min="16" max="16" width="7.5" style="110" customWidth="1"/>
    <col min="17" max="16384" width="9" style="54"/>
  </cols>
  <sheetData>
    <row r="1" spans="1:16" s="200" customFormat="1" ht="15.75" x14ac:dyDescent="0.25">
      <c r="A1" s="91" t="s">
        <v>642</v>
      </c>
      <c r="D1" s="201"/>
      <c r="E1" s="201"/>
      <c r="F1" s="201"/>
      <c r="G1" s="201"/>
      <c r="H1" s="201"/>
      <c r="I1" s="201"/>
      <c r="J1" s="201"/>
      <c r="K1" s="201"/>
      <c r="L1" s="201"/>
      <c r="M1" s="201"/>
      <c r="N1" s="201"/>
      <c r="O1" s="201"/>
      <c r="P1" s="201"/>
    </row>
    <row r="2" spans="1:16" x14ac:dyDescent="0.2">
      <c r="H2" s="111" t="s">
        <v>250</v>
      </c>
    </row>
    <row r="3" spans="1:16" s="55" customFormat="1" x14ac:dyDescent="0.2">
      <c r="A3" s="55" t="s">
        <v>241</v>
      </c>
      <c r="B3" s="55" t="s">
        <v>242</v>
      </c>
      <c r="C3" s="55" t="s">
        <v>245</v>
      </c>
      <c r="D3" s="111" t="s">
        <v>643</v>
      </c>
      <c r="E3" s="111" t="s">
        <v>644</v>
      </c>
      <c r="F3" s="111" t="s">
        <v>645</v>
      </c>
      <c r="G3" s="111" t="s">
        <v>267</v>
      </c>
      <c r="H3" s="111" t="s">
        <v>253</v>
      </c>
      <c r="I3" s="111" t="s">
        <v>254</v>
      </c>
      <c r="J3" s="111" t="s">
        <v>255</v>
      </c>
      <c r="K3" s="111" t="s">
        <v>994</v>
      </c>
      <c r="L3" s="111" t="s">
        <v>646</v>
      </c>
      <c r="M3" s="111" t="s">
        <v>647</v>
      </c>
      <c r="N3" s="111" t="s">
        <v>648</v>
      </c>
      <c r="O3" s="111" t="s">
        <v>649</v>
      </c>
      <c r="P3" s="111" t="s">
        <v>650</v>
      </c>
    </row>
    <row r="4" spans="1:16" x14ac:dyDescent="0.2">
      <c r="C4" s="54" t="s">
        <v>651</v>
      </c>
    </row>
    <row r="5" spans="1:16" x14ac:dyDescent="0.2">
      <c r="A5" s="55" t="s">
        <v>257</v>
      </c>
      <c r="C5" s="54" t="s">
        <v>652</v>
      </c>
    </row>
    <row r="7" spans="1:16" x14ac:dyDescent="0.2">
      <c r="A7" s="54" t="s">
        <v>653</v>
      </c>
      <c r="B7" s="54" t="s">
        <v>270</v>
      </c>
      <c r="C7" s="54" t="s">
        <v>654</v>
      </c>
      <c r="D7" s="110">
        <v>4</v>
      </c>
      <c r="E7" s="110">
        <v>4</v>
      </c>
      <c r="F7" s="112">
        <v>3</v>
      </c>
      <c r="G7" s="110" t="s">
        <v>655</v>
      </c>
      <c r="H7" s="112">
        <v>-1</v>
      </c>
      <c r="I7" s="112">
        <v>-2</v>
      </c>
      <c r="J7" s="112">
        <v>-3</v>
      </c>
      <c r="K7" s="112">
        <v>1</v>
      </c>
      <c r="L7" s="113">
        <v>0</v>
      </c>
      <c r="M7" s="113">
        <v>0</v>
      </c>
      <c r="N7" s="110" t="str">
        <f>A7</f>
        <v>Daggers</v>
      </c>
      <c r="O7" s="110">
        <v>20</v>
      </c>
      <c r="P7" s="110">
        <v>2.5</v>
      </c>
    </row>
    <row r="8" spans="1:16" x14ac:dyDescent="0.2">
      <c r="A8" s="54" t="s">
        <v>653</v>
      </c>
      <c r="B8" s="54" t="s">
        <v>656</v>
      </c>
      <c r="C8" s="54" t="s">
        <v>657</v>
      </c>
      <c r="D8" s="110">
        <v>2</v>
      </c>
      <c r="E8" s="110">
        <v>6</v>
      </c>
      <c r="F8" s="112">
        <v>2</v>
      </c>
      <c r="G8" s="110" t="s">
        <v>658</v>
      </c>
      <c r="H8" s="112"/>
      <c r="I8" s="112"/>
      <c r="J8" s="112"/>
      <c r="K8" s="112">
        <v>0</v>
      </c>
      <c r="L8" s="113">
        <v>0</v>
      </c>
      <c r="M8" s="113">
        <v>0</v>
      </c>
      <c r="N8" s="110" t="str">
        <f>A8</f>
        <v>Daggers</v>
      </c>
      <c r="O8" s="110">
        <v>20</v>
      </c>
      <c r="P8" s="114">
        <f>(1+1+1+2+2+3)/6</f>
        <v>1.6666666666666667</v>
      </c>
    </row>
    <row r="9" spans="1:16" x14ac:dyDescent="0.2">
      <c r="A9" s="54" t="s">
        <v>659</v>
      </c>
      <c r="B9" s="54" t="s">
        <v>660</v>
      </c>
      <c r="C9" s="54" t="s">
        <v>657</v>
      </c>
      <c r="D9" s="110">
        <v>8</v>
      </c>
      <c r="E9" s="110">
        <v>6</v>
      </c>
      <c r="F9" s="112">
        <v>2</v>
      </c>
      <c r="G9" s="110" t="s">
        <v>661</v>
      </c>
      <c r="H9" s="112"/>
      <c r="I9" s="112">
        <v>-1</v>
      </c>
      <c r="J9" s="112">
        <v>-2</v>
      </c>
      <c r="K9" s="112">
        <v>1</v>
      </c>
      <c r="L9" s="113">
        <v>0</v>
      </c>
      <c r="M9" s="113">
        <v>1</v>
      </c>
      <c r="N9" s="110" t="str">
        <f t="shared" ref="N9:N15" si="0">A9</f>
        <v>Swords</v>
      </c>
      <c r="O9" s="110">
        <v>50</v>
      </c>
      <c r="P9" s="114">
        <v>5</v>
      </c>
    </row>
    <row r="10" spans="1:16" x14ac:dyDescent="0.2">
      <c r="A10" s="54" t="s">
        <v>662</v>
      </c>
      <c r="B10" s="54" t="s">
        <v>663</v>
      </c>
      <c r="C10" s="54" t="s">
        <v>657</v>
      </c>
      <c r="D10" s="110">
        <v>9</v>
      </c>
      <c r="E10" s="110">
        <v>9</v>
      </c>
      <c r="F10" s="112">
        <v>2</v>
      </c>
      <c r="G10" s="110" t="s">
        <v>664</v>
      </c>
      <c r="H10" s="112"/>
      <c r="I10" s="112">
        <v>-1</v>
      </c>
      <c r="J10" s="112">
        <v>-3</v>
      </c>
      <c r="K10" s="112">
        <v>1</v>
      </c>
      <c r="L10" s="113">
        <v>0</v>
      </c>
      <c r="M10" s="113">
        <v>1</v>
      </c>
      <c r="N10" s="110" t="str">
        <f t="shared" si="0"/>
        <v>Curved Swords</v>
      </c>
      <c r="O10" s="110">
        <v>50</v>
      </c>
      <c r="P10" s="114">
        <v>4.5</v>
      </c>
    </row>
    <row r="11" spans="1:16" x14ac:dyDescent="0.2">
      <c r="A11" s="54" t="s">
        <v>662</v>
      </c>
      <c r="B11" s="54" t="s">
        <v>665</v>
      </c>
      <c r="C11" s="54" t="s">
        <v>657</v>
      </c>
      <c r="D11" s="110">
        <v>9</v>
      </c>
      <c r="E11" s="110">
        <v>9</v>
      </c>
      <c r="F11" s="112">
        <v>2</v>
      </c>
      <c r="G11" s="110" t="s">
        <v>664</v>
      </c>
      <c r="H11" s="112"/>
      <c r="I11" s="112">
        <v>-1</v>
      </c>
      <c r="J11" s="112">
        <v>-3</v>
      </c>
      <c r="K11" s="112">
        <v>1</v>
      </c>
      <c r="L11" s="113">
        <v>0</v>
      </c>
      <c r="M11" s="113">
        <v>1</v>
      </c>
      <c r="N11" s="110" t="str">
        <f t="shared" si="0"/>
        <v>Curved Swords</v>
      </c>
      <c r="O11" s="110">
        <v>50</v>
      </c>
      <c r="P11" s="114">
        <v>4.5</v>
      </c>
    </row>
    <row r="12" spans="1:16" x14ac:dyDescent="0.2">
      <c r="A12" s="54" t="s">
        <v>659</v>
      </c>
      <c r="B12" s="54" t="s">
        <v>269</v>
      </c>
      <c r="C12" s="54" t="s">
        <v>657</v>
      </c>
      <c r="D12" s="110">
        <v>12</v>
      </c>
      <c r="E12" s="110">
        <v>7</v>
      </c>
      <c r="F12" s="112">
        <v>0</v>
      </c>
      <c r="G12" s="110" t="s">
        <v>666</v>
      </c>
      <c r="H12" s="112"/>
      <c r="I12" s="112"/>
      <c r="J12" s="112">
        <v>-1</v>
      </c>
      <c r="K12" s="112">
        <v>1</v>
      </c>
      <c r="L12" s="113">
        <v>0</v>
      </c>
      <c r="M12" s="113">
        <v>2</v>
      </c>
      <c r="N12" s="110" t="str">
        <f t="shared" si="0"/>
        <v>Swords</v>
      </c>
      <c r="O12" s="110">
        <v>75</v>
      </c>
      <c r="P12" s="114">
        <v>6</v>
      </c>
    </row>
    <row r="13" spans="1:16" x14ac:dyDescent="0.2">
      <c r="A13" s="54" t="s">
        <v>659</v>
      </c>
      <c r="B13" s="54" t="s">
        <v>667</v>
      </c>
      <c r="C13" s="54" t="s">
        <v>668</v>
      </c>
      <c r="D13" s="110">
        <v>14</v>
      </c>
      <c r="E13" s="110">
        <v>8</v>
      </c>
      <c r="F13" s="112">
        <v>-1</v>
      </c>
      <c r="G13" s="110" t="s">
        <v>669</v>
      </c>
      <c r="H13" s="112"/>
      <c r="I13" s="112">
        <v>1</v>
      </c>
      <c r="J13" s="112"/>
      <c r="K13" s="112">
        <v>2</v>
      </c>
      <c r="L13" s="113">
        <v>0</v>
      </c>
      <c r="M13" s="113">
        <v>2</v>
      </c>
      <c r="N13" s="110" t="str">
        <f t="shared" si="0"/>
        <v>Swords</v>
      </c>
      <c r="O13" s="110">
        <v>100</v>
      </c>
      <c r="P13" s="114">
        <v>9</v>
      </c>
    </row>
    <row r="14" spans="1:16" x14ac:dyDescent="0.2">
      <c r="A14" s="54" t="s">
        <v>659</v>
      </c>
      <c r="B14" s="54" t="s">
        <v>670</v>
      </c>
      <c r="C14" s="54" t="s">
        <v>668</v>
      </c>
      <c r="D14" s="110">
        <v>18</v>
      </c>
      <c r="E14" s="110">
        <v>9</v>
      </c>
      <c r="F14" s="112">
        <v>-1</v>
      </c>
      <c r="G14" s="110" t="s">
        <v>671</v>
      </c>
      <c r="H14" s="112">
        <v>1</v>
      </c>
      <c r="I14" s="112">
        <v>2</v>
      </c>
      <c r="J14" s="112">
        <v>2</v>
      </c>
      <c r="K14" s="112">
        <v>2</v>
      </c>
      <c r="L14" s="113">
        <v>0</v>
      </c>
      <c r="M14" s="113">
        <v>3</v>
      </c>
      <c r="N14" s="110" t="str">
        <f t="shared" si="0"/>
        <v>Swords</v>
      </c>
      <c r="O14" s="110">
        <v>150</v>
      </c>
      <c r="P14" s="114">
        <v>13.5</v>
      </c>
    </row>
    <row r="15" spans="1:16" x14ac:dyDescent="0.2">
      <c r="A15" s="54" t="s">
        <v>659</v>
      </c>
      <c r="B15" s="54" t="s">
        <v>672</v>
      </c>
      <c r="C15" s="54" t="s">
        <v>673</v>
      </c>
      <c r="D15" s="110">
        <v>22</v>
      </c>
      <c r="E15" s="110">
        <v>11</v>
      </c>
      <c r="F15" s="112">
        <v>-2</v>
      </c>
      <c r="G15" s="110" t="s">
        <v>674</v>
      </c>
      <c r="H15" s="112">
        <v>2</v>
      </c>
      <c r="I15" s="112">
        <v>3</v>
      </c>
      <c r="J15" s="112">
        <v>3</v>
      </c>
      <c r="K15" s="112">
        <v>2</v>
      </c>
      <c r="L15" s="113">
        <v>0</v>
      </c>
      <c r="M15" s="113">
        <v>4</v>
      </c>
      <c r="N15" s="110" t="str">
        <f t="shared" si="0"/>
        <v>Swords</v>
      </c>
      <c r="O15" s="110">
        <v>200</v>
      </c>
      <c r="P15" s="114">
        <v>18</v>
      </c>
    </row>
    <row r="16" spans="1:16" x14ac:dyDescent="0.2">
      <c r="A16" s="54" t="s">
        <v>675</v>
      </c>
      <c r="B16" s="54" t="s">
        <v>676</v>
      </c>
      <c r="C16" s="54" t="s">
        <v>654</v>
      </c>
      <c r="D16" s="110">
        <v>6</v>
      </c>
      <c r="E16" s="110">
        <v>4</v>
      </c>
      <c r="F16" s="112">
        <v>2</v>
      </c>
      <c r="G16" s="110" t="s">
        <v>677</v>
      </c>
      <c r="H16" s="112"/>
      <c r="I16" s="112">
        <v>-1</v>
      </c>
      <c r="J16" s="112">
        <v>-2</v>
      </c>
      <c r="K16" s="112">
        <v>1</v>
      </c>
      <c r="L16" s="113">
        <v>0</v>
      </c>
      <c r="M16" s="113">
        <v>0</v>
      </c>
      <c r="N16" s="110" t="str">
        <f t="shared" ref="N16:N24" si="1">A16</f>
        <v>Axes</v>
      </c>
      <c r="O16" s="110">
        <v>50</v>
      </c>
      <c r="P16" s="114">
        <v>3.5</v>
      </c>
    </row>
    <row r="17" spans="1:16" x14ac:dyDescent="0.2">
      <c r="A17" s="54" t="s">
        <v>675</v>
      </c>
      <c r="B17" s="54" t="s">
        <v>271</v>
      </c>
      <c r="C17" s="54" t="s">
        <v>657</v>
      </c>
      <c r="D17" s="110">
        <v>10</v>
      </c>
      <c r="E17" s="110">
        <v>5</v>
      </c>
      <c r="F17" s="112">
        <v>1</v>
      </c>
      <c r="G17" s="110" t="s">
        <v>678</v>
      </c>
      <c r="H17" s="112"/>
      <c r="I17" s="112"/>
      <c r="J17" s="112">
        <v>-1</v>
      </c>
      <c r="K17" s="112">
        <v>1</v>
      </c>
      <c r="L17" s="113">
        <v>0</v>
      </c>
      <c r="M17" s="113">
        <v>1</v>
      </c>
      <c r="N17" s="110" t="str">
        <f t="shared" si="1"/>
        <v>Axes</v>
      </c>
      <c r="O17" s="110">
        <v>75</v>
      </c>
      <c r="P17" s="114">
        <v>6</v>
      </c>
    </row>
    <row r="18" spans="1:16" x14ac:dyDescent="0.2">
      <c r="A18" s="54" t="s">
        <v>675</v>
      </c>
      <c r="B18" s="54" t="s">
        <v>679</v>
      </c>
      <c r="C18" s="54" t="s">
        <v>668</v>
      </c>
      <c r="D18" s="110">
        <v>12</v>
      </c>
      <c r="E18" s="110">
        <v>6</v>
      </c>
      <c r="F18" s="112">
        <v>-1</v>
      </c>
      <c r="G18" s="110" t="s">
        <v>680</v>
      </c>
      <c r="H18" s="112"/>
      <c r="I18" s="112">
        <v>1</v>
      </c>
      <c r="J18" s="112">
        <v>1</v>
      </c>
      <c r="K18" s="112">
        <v>2</v>
      </c>
      <c r="L18" s="113">
        <v>1</v>
      </c>
      <c r="M18" s="113">
        <v>2</v>
      </c>
      <c r="N18" s="110" t="str">
        <f t="shared" si="1"/>
        <v>Axes</v>
      </c>
      <c r="O18" s="110">
        <v>100</v>
      </c>
      <c r="P18" s="114">
        <v>8</v>
      </c>
    </row>
    <row r="19" spans="1:16" x14ac:dyDescent="0.2">
      <c r="A19" s="54" t="s">
        <v>675</v>
      </c>
      <c r="B19" s="54" t="s">
        <v>681</v>
      </c>
      <c r="C19" s="54" t="s">
        <v>668</v>
      </c>
      <c r="D19" s="110">
        <v>17</v>
      </c>
      <c r="E19" s="110">
        <v>7</v>
      </c>
      <c r="F19" s="112">
        <v>-2</v>
      </c>
      <c r="G19" s="110" t="s">
        <v>682</v>
      </c>
      <c r="H19" s="112">
        <v>1</v>
      </c>
      <c r="I19" s="112">
        <v>2</v>
      </c>
      <c r="J19" s="112">
        <v>2</v>
      </c>
      <c r="K19" s="112">
        <v>2</v>
      </c>
      <c r="L19" s="113">
        <v>1</v>
      </c>
      <c r="M19" s="113">
        <v>3</v>
      </c>
      <c r="N19" s="110" t="str">
        <f t="shared" si="1"/>
        <v>Axes</v>
      </c>
      <c r="O19" s="110">
        <v>150</v>
      </c>
      <c r="P19" s="114">
        <v>11</v>
      </c>
    </row>
    <row r="20" spans="1:16" x14ac:dyDescent="0.2">
      <c r="A20" s="54" t="s">
        <v>675</v>
      </c>
      <c r="B20" s="54" t="s">
        <v>683</v>
      </c>
      <c r="C20" s="54" t="s">
        <v>673</v>
      </c>
      <c r="D20" s="110">
        <v>21</v>
      </c>
      <c r="E20" s="110">
        <v>8</v>
      </c>
      <c r="F20" s="112">
        <v>-3</v>
      </c>
      <c r="G20" s="110" t="s">
        <v>684</v>
      </c>
      <c r="H20" s="112">
        <v>1</v>
      </c>
      <c r="I20" s="112">
        <v>3</v>
      </c>
      <c r="J20" s="112">
        <v>3</v>
      </c>
      <c r="K20" s="112">
        <v>2</v>
      </c>
      <c r="L20" s="113">
        <v>2</v>
      </c>
      <c r="M20" s="113">
        <v>4</v>
      </c>
      <c r="N20" s="110" t="str">
        <f t="shared" si="1"/>
        <v>Axes</v>
      </c>
      <c r="O20" s="110">
        <v>200</v>
      </c>
      <c r="P20" s="114">
        <v>13</v>
      </c>
    </row>
    <row r="21" spans="1:16" x14ac:dyDescent="0.2">
      <c r="A21" s="54" t="s">
        <v>685</v>
      </c>
      <c r="B21" s="54" t="s">
        <v>686</v>
      </c>
      <c r="C21" s="54" t="s">
        <v>654</v>
      </c>
      <c r="D21" s="110">
        <v>7</v>
      </c>
      <c r="E21" s="110">
        <v>3</v>
      </c>
      <c r="F21" s="112">
        <v>2</v>
      </c>
      <c r="G21" s="110" t="s">
        <v>687</v>
      </c>
      <c r="H21" s="112"/>
      <c r="I21" s="112">
        <v>-1</v>
      </c>
      <c r="J21" s="112">
        <v>-2</v>
      </c>
      <c r="K21" s="112">
        <v>0</v>
      </c>
      <c r="L21" s="113">
        <v>0</v>
      </c>
      <c r="M21" s="113">
        <v>0</v>
      </c>
      <c r="N21" s="110" t="str">
        <f t="shared" si="1"/>
        <v>Hammers</v>
      </c>
      <c r="O21" s="110">
        <v>50</v>
      </c>
      <c r="P21" s="114">
        <v>3.5</v>
      </c>
    </row>
    <row r="22" spans="1:16" x14ac:dyDescent="0.2">
      <c r="A22" s="54" t="s">
        <v>685</v>
      </c>
      <c r="B22" s="54" t="s">
        <v>688</v>
      </c>
      <c r="C22" s="54" t="s">
        <v>657</v>
      </c>
      <c r="D22" s="110">
        <v>11</v>
      </c>
      <c r="E22" s="110">
        <v>5</v>
      </c>
      <c r="F22" s="112">
        <v>0</v>
      </c>
      <c r="G22" s="110" t="s">
        <v>661</v>
      </c>
      <c r="H22" s="112"/>
      <c r="I22" s="112"/>
      <c r="J22" s="112">
        <v>-1</v>
      </c>
      <c r="K22" s="112">
        <v>0</v>
      </c>
      <c r="L22" s="113">
        <v>0</v>
      </c>
      <c r="M22" s="113">
        <v>1</v>
      </c>
      <c r="N22" s="110" t="str">
        <f t="shared" si="1"/>
        <v>Hammers</v>
      </c>
      <c r="O22" s="110">
        <v>75</v>
      </c>
      <c r="P22" s="114">
        <v>5</v>
      </c>
    </row>
    <row r="23" spans="1:16" x14ac:dyDescent="0.2">
      <c r="A23" s="54" t="s">
        <v>685</v>
      </c>
      <c r="B23" s="54" t="s">
        <v>689</v>
      </c>
      <c r="C23" s="54" t="s">
        <v>668</v>
      </c>
      <c r="D23" s="110">
        <v>15</v>
      </c>
      <c r="E23" s="110">
        <v>7</v>
      </c>
      <c r="F23" s="112">
        <v>-2</v>
      </c>
      <c r="G23" s="110" t="s">
        <v>690</v>
      </c>
      <c r="H23" s="112"/>
      <c r="I23" s="112"/>
      <c r="J23" s="112">
        <v>1</v>
      </c>
      <c r="K23" s="112">
        <v>0</v>
      </c>
      <c r="L23" s="113">
        <v>1</v>
      </c>
      <c r="M23" s="113">
        <v>3</v>
      </c>
      <c r="N23" s="110" t="str">
        <f t="shared" si="1"/>
        <v>Hammers</v>
      </c>
      <c r="O23" s="110">
        <v>150</v>
      </c>
      <c r="P23" s="114">
        <v>7</v>
      </c>
    </row>
    <row r="24" spans="1:16" x14ac:dyDescent="0.2">
      <c r="A24" s="54" t="s">
        <v>685</v>
      </c>
      <c r="B24" s="54" t="s">
        <v>691</v>
      </c>
      <c r="C24" s="54" t="s">
        <v>673</v>
      </c>
      <c r="D24" s="110">
        <v>20</v>
      </c>
      <c r="E24" s="110">
        <v>10</v>
      </c>
      <c r="F24" s="112">
        <v>-4</v>
      </c>
      <c r="G24" s="110" t="s">
        <v>692</v>
      </c>
      <c r="H24" s="112"/>
      <c r="I24" s="112">
        <v>1</v>
      </c>
      <c r="J24" s="112">
        <v>2</v>
      </c>
      <c r="K24" s="112">
        <v>0</v>
      </c>
      <c r="L24" s="113">
        <v>2</v>
      </c>
      <c r="M24" s="113">
        <v>4</v>
      </c>
      <c r="N24" s="110" t="str">
        <f t="shared" si="1"/>
        <v>Hammers</v>
      </c>
      <c r="O24" s="110">
        <v>200</v>
      </c>
      <c r="P24" s="114">
        <v>10.5</v>
      </c>
    </row>
    <row r="25" spans="1:16" x14ac:dyDescent="0.2">
      <c r="A25" s="54" t="s">
        <v>693</v>
      </c>
      <c r="B25" s="54" t="s">
        <v>694</v>
      </c>
      <c r="C25" s="54" t="s">
        <v>654</v>
      </c>
      <c r="D25" s="110">
        <v>7</v>
      </c>
      <c r="E25" s="110">
        <v>3</v>
      </c>
      <c r="F25" s="112">
        <v>2</v>
      </c>
      <c r="G25" s="110" t="s">
        <v>687</v>
      </c>
      <c r="H25" s="112"/>
      <c r="I25" s="112">
        <v>-1</v>
      </c>
      <c r="J25" s="112">
        <v>-2</v>
      </c>
      <c r="K25" s="112">
        <v>0</v>
      </c>
      <c r="L25" s="113">
        <v>0</v>
      </c>
      <c r="M25" s="113">
        <v>0</v>
      </c>
      <c r="N25" s="110" t="str">
        <f t="shared" ref="N25:N30" si="2">A25</f>
        <v>Maces</v>
      </c>
      <c r="O25" s="110">
        <v>50</v>
      </c>
      <c r="P25" s="114">
        <v>3.5</v>
      </c>
    </row>
    <row r="26" spans="1:16" x14ac:dyDescent="0.2">
      <c r="A26" s="54" t="s">
        <v>693</v>
      </c>
      <c r="B26" s="54" t="s">
        <v>695</v>
      </c>
      <c r="C26" s="54" t="s">
        <v>654</v>
      </c>
      <c r="D26" s="110">
        <v>8</v>
      </c>
      <c r="E26" s="110">
        <v>3</v>
      </c>
      <c r="F26" s="112">
        <v>2</v>
      </c>
      <c r="G26" s="110" t="s">
        <v>696</v>
      </c>
      <c r="H26" s="112"/>
      <c r="I26" s="112">
        <v>-1</v>
      </c>
      <c r="J26" s="112">
        <v>-2</v>
      </c>
      <c r="K26" s="112">
        <v>0</v>
      </c>
      <c r="L26" s="113">
        <v>0</v>
      </c>
      <c r="M26" s="113">
        <v>0</v>
      </c>
      <c r="N26" s="110" t="str">
        <f t="shared" si="2"/>
        <v>Maces</v>
      </c>
      <c r="O26" s="110">
        <v>50</v>
      </c>
      <c r="P26" s="114">
        <v>4.5</v>
      </c>
    </row>
    <row r="27" spans="1:16" x14ac:dyDescent="0.2">
      <c r="A27" s="54" t="s">
        <v>693</v>
      </c>
      <c r="B27" s="54" t="s">
        <v>697</v>
      </c>
      <c r="C27" s="54" t="s">
        <v>657</v>
      </c>
      <c r="D27" s="110">
        <v>11</v>
      </c>
      <c r="E27" s="110">
        <v>5</v>
      </c>
      <c r="F27" s="112">
        <v>0</v>
      </c>
      <c r="G27" s="110" t="s">
        <v>661</v>
      </c>
      <c r="H27" s="112"/>
      <c r="I27" s="112"/>
      <c r="J27" s="112">
        <v>-1</v>
      </c>
      <c r="K27" s="112">
        <v>0</v>
      </c>
      <c r="L27" s="113">
        <v>0</v>
      </c>
      <c r="M27" s="113">
        <v>1</v>
      </c>
      <c r="N27" s="110" t="str">
        <f t="shared" si="2"/>
        <v>Maces</v>
      </c>
      <c r="O27" s="110">
        <v>75</v>
      </c>
      <c r="P27" s="114">
        <v>5</v>
      </c>
    </row>
    <row r="28" spans="1:16" x14ac:dyDescent="0.2">
      <c r="A28" s="54" t="s">
        <v>693</v>
      </c>
      <c r="B28" s="54" t="s">
        <v>698</v>
      </c>
      <c r="C28" s="54" t="s">
        <v>657</v>
      </c>
      <c r="D28" s="110">
        <v>12</v>
      </c>
      <c r="E28" s="110">
        <v>5</v>
      </c>
      <c r="F28" s="112">
        <v>0</v>
      </c>
      <c r="G28" s="110" t="s">
        <v>699</v>
      </c>
      <c r="H28" s="112"/>
      <c r="I28" s="112"/>
      <c r="J28" s="112">
        <v>-1</v>
      </c>
      <c r="K28" s="112">
        <v>0</v>
      </c>
      <c r="L28" s="113">
        <v>0</v>
      </c>
      <c r="M28" s="113">
        <v>1</v>
      </c>
      <c r="N28" s="110" t="str">
        <f t="shared" si="2"/>
        <v>Maces</v>
      </c>
      <c r="O28" s="110">
        <v>75</v>
      </c>
      <c r="P28" s="114">
        <v>7</v>
      </c>
    </row>
    <row r="29" spans="1:16" x14ac:dyDescent="0.2">
      <c r="A29" s="54" t="s">
        <v>693</v>
      </c>
      <c r="B29" s="54" t="s">
        <v>700</v>
      </c>
      <c r="C29" s="54" t="s">
        <v>673</v>
      </c>
      <c r="D29" s="110">
        <v>18</v>
      </c>
      <c r="E29" s="110">
        <v>8</v>
      </c>
      <c r="F29" s="112">
        <v>-3</v>
      </c>
      <c r="G29" s="110" t="s">
        <v>669</v>
      </c>
      <c r="H29" s="112"/>
      <c r="I29" s="112">
        <v>1</v>
      </c>
      <c r="J29" s="112">
        <v>2</v>
      </c>
      <c r="K29" s="112">
        <v>0</v>
      </c>
      <c r="L29" s="113">
        <v>0</v>
      </c>
      <c r="M29" s="113">
        <v>4</v>
      </c>
      <c r="N29" s="110" t="str">
        <f t="shared" si="2"/>
        <v>Maces</v>
      </c>
      <c r="O29" s="110">
        <v>200</v>
      </c>
      <c r="P29" s="114">
        <v>9</v>
      </c>
    </row>
    <row r="30" spans="1:16" x14ac:dyDescent="0.2">
      <c r="A30" s="54" t="s">
        <v>693</v>
      </c>
      <c r="B30" s="54" t="s">
        <v>701</v>
      </c>
      <c r="C30" s="54" t="s">
        <v>673</v>
      </c>
      <c r="D30" s="110">
        <v>22</v>
      </c>
      <c r="E30" s="110">
        <v>10</v>
      </c>
      <c r="F30" s="110">
        <v>-3</v>
      </c>
      <c r="G30" s="110" t="s">
        <v>702</v>
      </c>
      <c r="I30" s="110">
        <v>1</v>
      </c>
      <c r="J30" s="110">
        <v>3</v>
      </c>
      <c r="K30" s="110">
        <v>0</v>
      </c>
      <c r="L30" s="110">
        <v>1</v>
      </c>
      <c r="M30" s="110">
        <v>4</v>
      </c>
      <c r="N30" s="110" t="str">
        <f t="shared" si="2"/>
        <v>Maces</v>
      </c>
      <c r="O30" s="110">
        <v>200</v>
      </c>
      <c r="P30" s="110">
        <v>10.5</v>
      </c>
    </row>
    <row r="31" spans="1:16" x14ac:dyDescent="0.2">
      <c r="A31" s="54" t="s">
        <v>703</v>
      </c>
      <c r="B31" s="54" t="s">
        <v>704</v>
      </c>
      <c r="C31" s="54" t="s">
        <v>657</v>
      </c>
      <c r="D31" s="110">
        <v>10</v>
      </c>
      <c r="E31" s="110">
        <v>6</v>
      </c>
      <c r="F31" s="112">
        <v>-1</v>
      </c>
      <c r="G31" s="110" t="s">
        <v>687</v>
      </c>
      <c r="H31" s="112"/>
      <c r="I31" s="112"/>
      <c r="J31" s="112">
        <v>1</v>
      </c>
      <c r="K31" s="112">
        <v>0</v>
      </c>
      <c r="L31" s="113">
        <v>0</v>
      </c>
      <c r="M31" s="113">
        <v>1</v>
      </c>
      <c r="N31" s="110" t="str">
        <f t="shared" ref="N31:N42" si="3">A31</f>
        <v>Picks</v>
      </c>
      <c r="O31" s="110">
        <v>75</v>
      </c>
      <c r="P31" s="114">
        <v>3.5</v>
      </c>
    </row>
    <row r="32" spans="1:16" x14ac:dyDescent="0.2">
      <c r="A32" s="54" t="s">
        <v>703</v>
      </c>
      <c r="B32" s="54" t="s">
        <v>705</v>
      </c>
      <c r="C32" s="54" t="s">
        <v>673</v>
      </c>
      <c r="D32" s="110">
        <v>20</v>
      </c>
      <c r="E32" s="110">
        <v>9</v>
      </c>
      <c r="F32" s="112">
        <v>-3</v>
      </c>
      <c r="G32" s="110" t="s">
        <v>706</v>
      </c>
      <c r="H32" s="112"/>
      <c r="I32" s="112"/>
      <c r="J32" s="112">
        <v>3</v>
      </c>
      <c r="K32" s="112">
        <v>0</v>
      </c>
      <c r="L32" s="113">
        <v>1</v>
      </c>
      <c r="M32" s="113">
        <v>3</v>
      </c>
      <c r="N32" s="110" t="str">
        <f t="shared" si="3"/>
        <v>Picks</v>
      </c>
      <c r="O32" s="110">
        <v>200</v>
      </c>
      <c r="P32" s="114">
        <v>6.5</v>
      </c>
    </row>
    <row r="33" spans="1:16" x14ac:dyDescent="0.2">
      <c r="A33" s="54" t="s">
        <v>707</v>
      </c>
      <c r="B33" s="54" t="s">
        <v>708</v>
      </c>
      <c r="C33" s="54" t="s">
        <v>657</v>
      </c>
      <c r="D33" s="110">
        <v>8</v>
      </c>
      <c r="E33" s="110">
        <v>12</v>
      </c>
      <c r="F33" s="112">
        <v>-1</v>
      </c>
      <c r="G33" s="110" t="s">
        <v>661</v>
      </c>
      <c r="H33" s="112">
        <v>-1</v>
      </c>
      <c r="I33" s="112">
        <v>-2</v>
      </c>
      <c r="J33" s="112">
        <v>-4</v>
      </c>
      <c r="K33" s="110">
        <v>0</v>
      </c>
      <c r="L33" s="113">
        <v>1</v>
      </c>
      <c r="M33" s="113">
        <v>5</v>
      </c>
      <c r="N33" s="110" t="str">
        <f t="shared" si="3"/>
        <v>Whips</v>
      </c>
      <c r="O33" s="110">
        <v>100</v>
      </c>
      <c r="P33" s="114">
        <v>5</v>
      </c>
    </row>
    <row r="34" spans="1:16" x14ac:dyDescent="0.2">
      <c r="A34" s="54" t="s">
        <v>707</v>
      </c>
      <c r="B34" s="54" t="s">
        <v>709</v>
      </c>
      <c r="C34" s="54" t="s">
        <v>657</v>
      </c>
      <c r="D34" s="110">
        <v>9</v>
      </c>
      <c r="E34" s="110">
        <v>12</v>
      </c>
      <c r="F34" s="112">
        <v>-1</v>
      </c>
      <c r="G34" s="110" t="s">
        <v>699</v>
      </c>
      <c r="H34" s="112">
        <v>-1</v>
      </c>
      <c r="I34" s="112">
        <v>-2</v>
      </c>
      <c r="J34" s="112">
        <v>-4</v>
      </c>
      <c r="K34" s="110">
        <v>0</v>
      </c>
      <c r="L34" s="113">
        <v>1</v>
      </c>
      <c r="M34" s="113">
        <v>4</v>
      </c>
      <c r="N34" s="110" t="str">
        <f t="shared" si="3"/>
        <v>Whips</v>
      </c>
      <c r="O34" s="110">
        <v>100</v>
      </c>
      <c r="P34" s="114">
        <v>7</v>
      </c>
    </row>
    <row r="35" spans="1:16" x14ac:dyDescent="0.2">
      <c r="A35" s="54" t="s">
        <v>707</v>
      </c>
      <c r="B35" s="54" t="s">
        <v>710</v>
      </c>
      <c r="C35" s="54" t="s">
        <v>673</v>
      </c>
      <c r="D35" s="110">
        <v>18</v>
      </c>
      <c r="E35" s="110">
        <v>15</v>
      </c>
      <c r="F35" s="112">
        <v>-3</v>
      </c>
      <c r="G35" s="110" t="s">
        <v>711</v>
      </c>
      <c r="H35" s="112"/>
      <c r="I35" s="112">
        <v>-1</v>
      </c>
      <c r="J35" s="112">
        <v>-3</v>
      </c>
      <c r="K35" s="110">
        <v>0</v>
      </c>
      <c r="L35" s="113">
        <v>1</v>
      </c>
      <c r="M35" s="113">
        <v>6</v>
      </c>
      <c r="N35" s="110" t="str">
        <f t="shared" si="3"/>
        <v>Whips</v>
      </c>
      <c r="O35" s="110">
        <v>150</v>
      </c>
      <c r="P35" s="114">
        <v>7.5</v>
      </c>
    </row>
    <row r="36" spans="1:16" x14ac:dyDescent="0.2">
      <c r="A36" s="54" t="s">
        <v>707</v>
      </c>
      <c r="B36" s="54" t="s">
        <v>712</v>
      </c>
      <c r="C36" s="54" t="s">
        <v>673</v>
      </c>
      <c r="D36" s="110">
        <v>20</v>
      </c>
      <c r="E36" s="110">
        <v>15</v>
      </c>
      <c r="F36" s="112">
        <v>-3</v>
      </c>
      <c r="G36" s="110" t="s">
        <v>702</v>
      </c>
      <c r="H36" s="112"/>
      <c r="I36" s="112">
        <v>-1</v>
      </c>
      <c r="J36" s="112">
        <v>-2</v>
      </c>
      <c r="K36" s="110">
        <v>0</v>
      </c>
      <c r="L36" s="113">
        <v>1</v>
      </c>
      <c r="M36" s="113">
        <v>6</v>
      </c>
      <c r="N36" s="110" t="str">
        <f t="shared" si="3"/>
        <v>Whips</v>
      </c>
      <c r="O36" s="110">
        <v>200</v>
      </c>
      <c r="P36" s="114">
        <v>10.5</v>
      </c>
    </row>
    <row r="37" spans="1:16" x14ac:dyDescent="0.2">
      <c r="A37" s="54" t="s">
        <v>713</v>
      </c>
      <c r="B37" s="54" t="s">
        <v>714</v>
      </c>
      <c r="C37" s="54" t="s">
        <v>668</v>
      </c>
      <c r="D37" s="110">
        <v>7</v>
      </c>
      <c r="E37" s="110">
        <v>8</v>
      </c>
      <c r="F37" s="112">
        <v>1</v>
      </c>
      <c r="G37" s="110" t="s">
        <v>687</v>
      </c>
      <c r="H37" s="112"/>
      <c r="I37" s="112">
        <v>-1</v>
      </c>
      <c r="J37" s="112">
        <v>-3</v>
      </c>
      <c r="K37" s="112">
        <v>0</v>
      </c>
      <c r="L37" s="113">
        <v>0</v>
      </c>
      <c r="M37" s="113">
        <v>2</v>
      </c>
      <c r="N37" s="110" t="str">
        <f t="shared" si="3"/>
        <v>Flails</v>
      </c>
      <c r="O37" s="110">
        <v>50</v>
      </c>
      <c r="P37" s="114">
        <v>3.5</v>
      </c>
    </row>
    <row r="38" spans="1:16" x14ac:dyDescent="0.2">
      <c r="A38" s="54" t="s">
        <v>713</v>
      </c>
      <c r="B38" s="54" t="s">
        <v>715</v>
      </c>
      <c r="C38" s="54" t="s">
        <v>657</v>
      </c>
      <c r="D38" s="110">
        <v>10</v>
      </c>
      <c r="E38" s="110">
        <v>11</v>
      </c>
      <c r="F38" s="112">
        <v>-3</v>
      </c>
      <c r="G38" s="110" t="s">
        <v>696</v>
      </c>
      <c r="H38" s="112"/>
      <c r="I38" s="112">
        <v>-1</v>
      </c>
      <c r="J38" s="112">
        <v>-2</v>
      </c>
      <c r="K38" s="112">
        <v>0</v>
      </c>
      <c r="L38" s="113">
        <v>0</v>
      </c>
      <c r="M38" s="113">
        <v>3</v>
      </c>
      <c r="N38" s="110" t="str">
        <f t="shared" si="3"/>
        <v>Flails</v>
      </c>
      <c r="O38" s="110">
        <v>100</v>
      </c>
      <c r="P38" s="114">
        <v>4.5</v>
      </c>
    </row>
    <row r="39" spans="1:16" x14ac:dyDescent="0.2">
      <c r="A39" s="54" t="s">
        <v>713</v>
      </c>
      <c r="B39" s="54" t="s">
        <v>716</v>
      </c>
      <c r="C39" s="54" t="s">
        <v>657</v>
      </c>
      <c r="D39" s="110">
        <v>13</v>
      </c>
      <c r="E39" s="110">
        <v>10</v>
      </c>
      <c r="F39" s="112">
        <v>-4</v>
      </c>
      <c r="G39" s="110" t="s">
        <v>664</v>
      </c>
      <c r="H39" s="112"/>
      <c r="I39" s="112"/>
      <c r="J39" s="112"/>
      <c r="K39" s="112">
        <v>1</v>
      </c>
      <c r="L39" s="113">
        <v>0</v>
      </c>
      <c r="M39" s="113">
        <v>3</v>
      </c>
      <c r="N39" s="110" t="str">
        <f t="shared" si="3"/>
        <v>Flails</v>
      </c>
      <c r="O39" s="110">
        <v>100</v>
      </c>
      <c r="P39" s="114">
        <v>4.5</v>
      </c>
    </row>
    <row r="40" spans="1:16" x14ac:dyDescent="0.2">
      <c r="A40" s="54" t="s">
        <v>713</v>
      </c>
      <c r="B40" s="54" t="s">
        <v>717</v>
      </c>
      <c r="C40" s="54" t="s">
        <v>657</v>
      </c>
      <c r="D40" s="110">
        <v>14</v>
      </c>
      <c r="E40" s="110">
        <v>10</v>
      </c>
      <c r="F40" s="112">
        <v>-4</v>
      </c>
      <c r="G40" s="110" t="s">
        <v>718</v>
      </c>
      <c r="H40" s="112"/>
      <c r="I40" s="112"/>
      <c r="J40" s="112">
        <v>-1</v>
      </c>
      <c r="K40" s="112">
        <v>1</v>
      </c>
      <c r="L40" s="113">
        <v>1</v>
      </c>
      <c r="M40" s="113">
        <v>3</v>
      </c>
      <c r="N40" s="110" t="str">
        <f t="shared" si="3"/>
        <v>Flails</v>
      </c>
      <c r="O40" s="110">
        <v>100</v>
      </c>
      <c r="P40" s="114">
        <v>6.5</v>
      </c>
    </row>
    <row r="41" spans="1:16" x14ac:dyDescent="0.2">
      <c r="A41" s="54" t="s">
        <v>713</v>
      </c>
      <c r="B41" s="54" t="s">
        <v>719</v>
      </c>
      <c r="C41" s="54" t="s">
        <v>673</v>
      </c>
      <c r="D41" s="110">
        <v>20</v>
      </c>
      <c r="E41" s="110">
        <v>12</v>
      </c>
      <c r="F41" s="112">
        <v>-6</v>
      </c>
      <c r="G41" s="110" t="s">
        <v>720</v>
      </c>
      <c r="H41" s="112"/>
      <c r="I41" s="112"/>
      <c r="J41" s="112">
        <v>1</v>
      </c>
      <c r="K41" s="112">
        <v>1</v>
      </c>
      <c r="L41" s="113">
        <v>1</v>
      </c>
      <c r="M41" s="113">
        <v>4</v>
      </c>
      <c r="N41" s="110" t="str">
        <f t="shared" si="3"/>
        <v>Flails</v>
      </c>
      <c r="O41" s="110">
        <v>200</v>
      </c>
      <c r="P41" s="114">
        <v>13</v>
      </c>
    </row>
    <row r="42" spans="1:16" x14ac:dyDescent="0.2">
      <c r="A42" s="54" t="s">
        <v>721</v>
      </c>
      <c r="B42" s="54" t="s">
        <v>722</v>
      </c>
      <c r="C42" s="54" t="s">
        <v>668</v>
      </c>
      <c r="D42" s="110">
        <v>6</v>
      </c>
      <c r="E42" s="110">
        <v>12</v>
      </c>
      <c r="F42" s="112">
        <v>4</v>
      </c>
      <c r="G42" s="110" t="s">
        <v>661</v>
      </c>
      <c r="H42" s="112">
        <v>-1</v>
      </c>
      <c r="I42" s="112">
        <v>-3</v>
      </c>
      <c r="J42" s="112">
        <v>-5</v>
      </c>
      <c r="K42" s="112">
        <v>0</v>
      </c>
      <c r="L42" s="113">
        <v>0</v>
      </c>
      <c r="M42" s="113">
        <v>2</v>
      </c>
      <c r="N42" s="110" t="str">
        <f t="shared" si="3"/>
        <v>Staves</v>
      </c>
      <c r="O42" s="110">
        <v>50</v>
      </c>
      <c r="P42" s="114">
        <v>5</v>
      </c>
    </row>
    <row r="43" spans="1:16" x14ac:dyDescent="0.2">
      <c r="A43" s="54" t="s">
        <v>723</v>
      </c>
      <c r="B43" s="54" t="s">
        <v>724</v>
      </c>
      <c r="C43" s="54" t="s">
        <v>657</v>
      </c>
      <c r="D43" s="110">
        <v>7</v>
      </c>
      <c r="E43" s="110">
        <v>8</v>
      </c>
      <c r="F43" s="112">
        <v>1</v>
      </c>
      <c r="G43" s="110" t="s">
        <v>687</v>
      </c>
      <c r="H43" s="112"/>
      <c r="I43" s="112">
        <v>-1</v>
      </c>
      <c r="J43" s="112">
        <v>-3</v>
      </c>
      <c r="K43" s="112">
        <v>1</v>
      </c>
      <c r="L43" s="113">
        <v>0</v>
      </c>
      <c r="M43" s="113">
        <v>2</v>
      </c>
      <c r="N43" s="110" t="s">
        <v>723</v>
      </c>
      <c r="O43" s="110">
        <v>75</v>
      </c>
      <c r="P43" s="114">
        <v>3.5</v>
      </c>
    </row>
    <row r="44" spans="1:16" x14ac:dyDescent="0.2">
      <c r="A44" s="54" t="s">
        <v>723</v>
      </c>
      <c r="B44" s="54" t="s">
        <v>725</v>
      </c>
      <c r="C44" s="54" t="s">
        <v>657</v>
      </c>
      <c r="D44" s="110">
        <v>8</v>
      </c>
      <c r="E44" s="110">
        <v>9</v>
      </c>
      <c r="F44" s="112">
        <v>0</v>
      </c>
      <c r="G44" s="110" t="s">
        <v>687</v>
      </c>
      <c r="H44" s="112"/>
      <c r="I44" s="112">
        <v>-1</v>
      </c>
      <c r="J44" s="112">
        <v>-2</v>
      </c>
      <c r="K44" s="112">
        <v>1</v>
      </c>
      <c r="L44" s="113">
        <v>0</v>
      </c>
      <c r="M44" s="113">
        <v>2</v>
      </c>
      <c r="N44" s="110" t="str">
        <f t="shared" ref="N44:N54" si="4">A44</f>
        <v>Spears</v>
      </c>
      <c r="O44" s="110">
        <v>75</v>
      </c>
      <c r="P44" s="114">
        <v>3.5</v>
      </c>
    </row>
    <row r="45" spans="1:16" x14ac:dyDescent="0.2">
      <c r="A45" s="54" t="s">
        <v>723</v>
      </c>
      <c r="B45" s="54" t="s">
        <v>726</v>
      </c>
      <c r="C45" s="54" t="s">
        <v>657</v>
      </c>
      <c r="D45" s="110">
        <v>10</v>
      </c>
      <c r="E45" s="110">
        <v>6</v>
      </c>
      <c r="F45" s="112">
        <v>0</v>
      </c>
      <c r="G45" s="110" t="s">
        <v>727</v>
      </c>
      <c r="H45" s="112"/>
      <c r="I45" s="112"/>
      <c r="J45" s="112"/>
      <c r="K45" s="112">
        <v>1</v>
      </c>
      <c r="L45" s="113">
        <v>1</v>
      </c>
      <c r="M45" s="113">
        <v>3</v>
      </c>
      <c r="N45" s="110" t="str">
        <f t="shared" si="4"/>
        <v>Spears</v>
      </c>
      <c r="O45" s="110">
        <v>100</v>
      </c>
      <c r="P45" s="114">
        <v>8</v>
      </c>
    </row>
    <row r="46" spans="1:16" x14ac:dyDescent="0.2">
      <c r="A46" s="54" t="s">
        <v>723</v>
      </c>
      <c r="B46" s="54" t="s">
        <v>728</v>
      </c>
      <c r="C46" s="54" t="s">
        <v>657</v>
      </c>
      <c r="D46" s="110">
        <v>12</v>
      </c>
      <c r="E46" s="110">
        <v>9</v>
      </c>
      <c r="F46" s="112">
        <v>-1</v>
      </c>
      <c r="G46" s="110" t="s">
        <v>661</v>
      </c>
      <c r="H46" s="112"/>
      <c r="I46" s="112"/>
      <c r="J46" s="112">
        <v>-1</v>
      </c>
      <c r="K46" s="112">
        <v>1</v>
      </c>
      <c r="L46" s="113">
        <v>1</v>
      </c>
      <c r="M46" s="113">
        <v>3</v>
      </c>
      <c r="N46" s="110" t="str">
        <f t="shared" si="4"/>
        <v>Spears</v>
      </c>
      <c r="O46" s="110">
        <v>100</v>
      </c>
      <c r="P46" s="114">
        <v>5</v>
      </c>
    </row>
    <row r="47" spans="1:16" x14ac:dyDescent="0.2">
      <c r="A47" s="54" t="s">
        <v>723</v>
      </c>
      <c r="B47" s="54" t="s">
        <v>729</v>
      </c>
      <c r="C47" s="54" t="s">
        <v>657</v>
      </c>
      <c r="D47" s="110">
        <v>13</v>
      </c>
      <c r="E47" s="110">
        <v>9</v>
      </c>
      <c r="F47" s="112">
        <v>-2</v>
      </c>
      <c r="G47" s="110" t="s">
        <v>692</v>
      </c>
      <c r="H47" s="112"/>
      <c r="I47" s="112"/>
      <c r="J47" s="112"/>
      <c r="K47" s="112">
        <v>1</v>
      </c>
      <c r="L47" s="113">
        <v>1</v>
      </c>
      <c r="M47" s="113">
        <v>3</v>
      </c>
      <c r="N47" s="110" t="str">
        <f t="shared" si="4"/>
        <v>Spears</v>
      </c>
      <c r="O47" s="110">
        <v>100</v>
      </c>
      <c r="P47" s="114">
        <v>10.5</v>
      </c>
    </row>
    <row r="48" spans="1:16" x14ac:dyDescent="0.2">
      <c r="A48" s="54" t="s">
        <v>723</v>
      </c>
      <c r="B48" s="54" t="s">
        <v>730</v>
      </c>
      <c r="C48" s="54" t="s">
        <v>657</v>
      </c>
      <c r="D48" s="110">
        <v>13</v>
      </c>
      <c r="E48" s="110">
        <v>10</v>
      </c>
      <c r="F48" s="112">
        <v>-1</v>
      </c>
      <c r="G48" s="110" t="s">
        <v>711</v>
      </c>
      <c r="H48" s="112"/>
      <c r="I48" s="112">
        <v>-1</v>
      </c>
      <c r="J48" s="112">
        <v>-3</v>
      </c>
      <c r="K48" s="112">
        <v>1</v>
      </c>
      <c r="L48" s="113">
        <v>1</v>
      </c>
      <c r="M48" s="113">
        <v>3</v>
      </c>
      <c r="N48" s="110" t="str">
        <f t="shared" si="4"/>
        <v>Spears</v>
      </c>
      <c r="O48" s="110">
        <v>75</v>
      </c>
      <c r="P48" s="114">
        <v>7.5</v>
      </c>
    </row>
    <row r="49" spans="1:16" x14ac:dyDescent="0.2">
      <c r="A49" s="54" t="s">
        <v>723</v>
      </c>
      <c r="B49" s="54" t="s">
        <v>731</v>
      </c>
      <c r="C49" s="54" t="s">
        <v>673</v>
      </c>
      <c r="D49" s="110">
        <v>19</v>
      </c>
      <c r="E49" s="110">
        <v>11</v>
      </c>
      <c r="F49" s="112">
        <v>-1</v>
      </c>
      <c r="G49" s="110" t="s">
        <v>692</v>
      </c>
      <c r="H49" s="112"/>
      <c r="I49" s="112">
        <v>-1</v>
      </c>
      <c r="J49" s="112">
        <v>-2</v>
      </c>
      <c r="K49" s="112">
        <v>2</v>
      </c>
      <c r="L49" s="113">
        <v>1</v>
      </c>
      <c r="M49" s="113">
        <v>5</v>
      </c>
      <c r="N49" s="110" t="str">
        <f t="shared" si="4"/>
        <v>Spears</v>
      </c>
      <c r="O49" s="110">
        <v>150</v>
      </c>
      <c r="P49" s="114">
        <v>10.5</v>
      </c>
    </row>
    <row r="50" spans="1:16" x14ac:dyDescent="0.2">
      <c r="A50" s="54" t="s">
        <v>723</v>
      </c>
      <c r="B50" s="54" t="s">
        <v>732</v>
      </c>
      <c r="C50" s="54" t="s">
        <v>668</v>
      </c>
      <c r="D50" s="110">
        <v>16</v>
      </c>
      <c r="E50" s="110">
        <v>6</v>
      </c>
      <c r="F50" s="112">
        <v>-1</v>
      </c>
      <c r="G50" s="110" t="s">
        <v>733</v>
      </c>
      <c r="H50" s="112"/>
      <c r="I50" s="112"/>
      <c r="J50" s="112"/>
      <c r="K50" s="112">
        <v>2</v>
      </c>
      <c r="L50" s="113">
        <v>2</v>
      </c>
      <c r="M50" s="113">
        <v>4</v>
      </c>
      <c r="N50" s="110" t="str">
        <f t="shared" si="4"/>
        <v>Spears</v>
      </c>
      <c r="O50" s="110">
        <v>150</v>
      </c>
      <c r="P50" s="114">
        <v>10</v>
      </c>
    </row>
    <row r="51" spans="1:16" x14ac:dyDescent="0.2">
      <c r="A51" s="54" t="s">
        <v>723</v>
      </c>
      <c r="B51" s="54" t="s">
        <v>734</v>
      </c>
      <c r="C51" s="54" t="s">
        <v>668</v>
      </c>
      <c r="D51" s="110">
        <v>18</v>
      </c>
      <c r="E51" s="110">
        <v>9</v>
      </c>
      <c r="F51" s="112">
        <v>-2</v>
      </c>
      <c r="G51" s="110" t="s">
        <v>690</v>
      </c>
      <c r="H51" s="112"/>
      <c r="I51" s="112"/>
      <c r="J51" s="112">
        <v>-1</v>
      </c>
      <c r="K51" s="112">
        <v>2</v>
      </c>
      <c r="L51" s="113">
        <v>2</v>
      </c>
      <c r="M51" s="113">
        <v>4</v>
      </c>
      <c r="N51" s="110" t="str">
        <f t="shared" si="4"/>
        <v>Spears</v>
      </c>
      <c r="O51" s="110">
        <v>150</v>
      </c>
      <c r="P51" s="114">
        <v>7</v>
      </c>
    </row>
    <row r="52" spans="1:16" x14ac:dyDescent="0.2">
      <c r="A52" s="54" t="s">
        <v>723</v>
      </c>
      <c r="B52" s="54" t="s">
        <v>735</v>
      </c>
      <c r="C52" s="54" t="s">
        <v>668</v>
      </c>
      <c r="D52" s="110">
        <v>18</v>
      </c>
      <c r="E52" s="110">
        <v>9</v>
      </c>
      <c r="F52" s="112">
        <v>-4</v>
      </c>
      <c r="G52" s="110" t="s">
        <v>671</v>
      </c>
      <c r="H52" s="112"/>
      <c r="I52" s="112"/>
      <c r="J52" s="112"/>
      <c r="K52" s="112">
        <v>2</v>
      </c>
      <c r="L52" s="113">
        <v>2</v>
      </c>
      <c r="M52" s="113">
        <v>4</v>
      </c>
      <c r="N52" s="110" t="str">
        <f t="shared" si="4"/>
        <v>Spears</v>
      </c>
      <c r="O52" s="110">
        <v>150</v>
      </c>
      <c r="P52" s="114">
        <v>13.5</v>
      </c>
    </row>
    <row r="53" spans="1:16" x14ac:dyDescent="0.2">
      <c r="A53" s="54" t="s">
        <v>723</v>
      </c>
      <c r="B53" s="54" t="s">
        <v>736</v>
      </c>
      <c r="C53" s="54" t="s">
        <v>673</v>
      </c>
      <c r="D53" s="110">
        <v>20</v>
      </c>
      <c r="E53" s="110">
        <v>9</v>
      </c>
      <c r="F53" s="112">
        <v>-4</v>
      </c>
      <c r="G53" s="110" t="s">
        <v>692</v>
      </c>
      <c r="H53" s="112"/>
      <c r="I53" s="112"/>
      <c r="J53" s="112">
        <v>1</v>
      </c>
      <c r="K53" s="112">
        <v>0</v>
      </c>
      <c r="L53" s="113">
        <v>2</v>
      </c>
      <c r="M53" s="113">
        <v>5</v>
      </c>
      <c r="N53" s="110" t="str">
        <f t="shared" si="4"/>
        <v>Spears</v>
      </c>
      <c r="O53" s="110">
        <v>200</v>
      </c>
      <c r="P53" s="114">
        <v>10.5</v>
      </c>
    </row>
    <row r="54" spans="1:16" x14ac:dyDescent="0.2">
      <c r="A54" s="54" t="s">
        <v>723</v>
      </c>
      <c r="B54" s="54" t="s">
        <v>737</v>
      </c>
      <c r="C54" s="54" t="s">
        <v>673</v>
      </c>
      <c r="D54" s="110">
        <v>20</v>
      </c>
      <c r="E54" s="110">
        <v>9</v>
      </c>
      <c r="F54" s="112">
        <v>-8</v>
      </c>
      <c r="G54" s="110" t="s">
        <v>674</v>
      </c>
      <c r="H54" s="112"/>
      <c r="I54" s="112"/>
      <c r="J54" s="112"/>
      <c r="K54" s="112">
        <v>0</v>
      </c>
      <c r="L54" s="113">
        <v>2</v>
      </c>
      <c r="M54" s="113">
        <v>5</v>
      </c>
      <c r="N54" s="110" t="str">
        <f t="shared" si="4"/>
        <v>Spears</v>
      </c>
      <c r="O54" s="110">
        <v>200</v>
      </c>
      <c r="P54" s="114">
        <v>18</v>
      </c>
    </row>
    <row r="55" spans="1:16" x14ac:dyDescent="0.2">
      <c r="A55" s="54" t="s">
        <v>738</v>
      </c>
      <c r="B55" s="54" t="s">
        <v>739</v>
      </c>
      <c r="C55" s="54" t="s">
        <v>668</v>
      </c>
      <c r="D55" s="110">
        <v>10</v>
      </c>
      <c r="E55" s="110">
        <v>6</v>
      </c>
      <c r="F55" s="112">
        <v>-1</v>
      </c>
      <c r="G55" s="110" t="s">
        <v>711</v>
      </c>
      <c r="H55" s="112"/>
      <c r="I55" s="112"/>
      <c r="J55" s="112">
        <v>2</v>
      </c>
      <c r="K55" s="112">
        <v>2</v>
      </c>
      <c r="L55" s="113">
        <v>1</v>
      </c>
      <c r="M55" s="113">
        <v>4</v>
      </c>
      <c r="N55" s="110" t="str">
        <f>A55</f>
        <v>Polearms</v>
      </c>
      <c r="O55" s="110">
        <v>150</v>
      </c>
      <c r="P55" s="114">
        <v>7.5</v>
      </c>
    </row>
    <row r="56" spans="1:16" x14ac:dyDescent="0.2">
      <c r="A56" s="54" t="s">
        <v>738</v>
      </c>
      <c r="B56" s="54" t="s">
        <v>740</v>
      </c>
      <c r="C56" s="54" t="s">
        <v>668</v>
      </c>
      <c r="D56" s="110">
        <v>12</v>
      </c>
      <c r="E56" s="110">
        <v>4</v>
      </c>
      <c r="F56" s="112">
        <v>-3</v>
      </c>
      <c r="G56" s="110" t="s">
        <v>706</v>
      </c>
      <c r="H56" s="112"/>
      <c r="I56" s="112"/>
      <c r="J56" s="112">
        <v>1</v>
      </c>
      <c r="K56" s="112">
        <v>2</v>
      </c>
      <c r="L56" s="113">
        <v>2</v>
      </c>
      <c r="M56" s="113">
        <v>5</v>
      </c>
      <c r="N56" s="110" t="str">
        <f>A56</f>
        <v>Polearms</v>
      </c>
      <c r="O56" s="110">
        <v>150</v>
      </c>
      <c r="P56" s="114">
        <v>6.5</v>
      </c>
    </row>
    <row r="57" spans="1:16" x14ac:dyDescent="0.2">
      <c r="A57" s="54" t="s">
        <v>738</v>
      </c>
      <c r="B57" s="54" t="s">
        <v>741</v>
      </c>
      <c r="C57" s="54" t="s">
        <v>673</v>
      </c>
      <c r="D57" s="110">
        <v>20</v>
      </c>
      <c r="E57" s="110">
        <v>6</v>
      </c>
      <c r="F57" s="112">
        <v>-4</v>
      </c>
      <c r="G57" s="110" t="s">
        <v>742</v>
      </c>
      <c r="H57" s="112"/>
      <c r="I57" s="112"/>
      <c r="J57" s="112"/>
      <c r="K57" s="112">
        <v>2</v>
      </c>
      <c r="L57" s="113">
        <v>3</v>
      </c>
      <c r="M57" s="113">
        <v>6</v>
      </c>
      <c r="N57" s="110" t="str">
        <f>A57</f>
        <v>Polearms</v>
      </c>
      <c r="O57" s="110">
        <v>200</v>
      </c>
      <c r="P57" s="114">
        <v>13</v>
      </c>
    </row>
    <row r="58" spans="1:16" x14ac:dyDescent="0.2">
      <c r="A58" s="54" t="s">
        <v>272</v>
      </c>
      <c r="B58" s="54" t="s">
        <v>273</v>
      </c>
      <c r="C58" s="54" t="s">
        <v>657</v>
      </c>
      <c r="D58" s="110">
        <v>1</v>
      </c>
      <c r="F58" s="112"/>
      <c r="G58" s="110" t="s">
        <v>743</v>
      </c>
      <c r="H58" s="112"/>
      <c r="I58" s="112">
        <v>-1</v>
      </c>
      <c r="J58" s="112">
        <v>-4</v>
      </c>
      <c r="K58" s="112">
        <v>0</v>
      </c>
      <c r="L58" s="113">
        <v>0</v>
      </c>
      <c r="M58" s="113">
        <v>0</v>
      </c>
      <c r="N58" s="110" t="str">
        <f>A58</f>
        <v>Hand to Hand</v>
      </c>
      <c r="O58" s="110">
        <v>0</v>
      </c>
      <c r="P58" s="114">
        <v>1.5</v>
      </c>
    </row>
    <row r="59" spans="1:16" x14ac:dyDescent="0.2">
      <c r="A59" s="54" t="s">
        <v>272</v>
      </c>
      <c r="B59" s="54" t="s">
        <v>744</v>
      </c>
      <c r="C59" s="54" t="s">
        <v>1346</v>
      </c>
      <c r="D59" s="110">
        <v>3</v>
      </c>
      <c r="F59" s="112"/>
      <c r="G59" s="110" t="s">
        <v>658</v>
      </c>
      <c r="H59" s="112"/>
      <c r="I59" s="112">
        <v>-1</v>
      </c>
      <c r="J59" s="112">
        <v>-4</v>
      </c>
      <c r="K59" s="112">
        <v>0</v>
      </c>
      <c r="L59" s="113">
        <v>0</v>
      </c>
      <c r="M59" s="113">
        <v>0</v>
      </c>
      <c r="N59" s="110" t="str">
        <f>A59</f>
        <v>Hand to Hand</v>
      </c>
      <c r="O59" s="110">
        <v>0</v>
      </c>
      <c r="P59" s="114">
        <v>2</v>
      </c>
    </row>
    <row r="60" spans="1:16" x14ac:dyDescent="0.2">
      <c r="H60" s="112"/>
      <c r="I60" s="112"/>
      <c r="J60" s="112"/>
      <c r="K60" s="112"/>
      <c r="L60" s="112"/>
      <c r="M60" s="112"/>
      <c r="P60" s="114"/>
    </row>
    <row r="61" spans="1:16" x14ac:dyDescent="0.2">
      <c r="A61" s="55" t="s">
        <v>274</v>
      </c>
      <c r="C61" s="55" t="s">
        <v>275</v>
      </c>
      <c r="D61" s="111" t="s">
        <v>643</v>
      </c>
      <c r="E61" s="111" t="s">
        <v>644</v>
      </c>
      <c r="F61" s="111" t="s">
        <v>745</v>
      </c>
      <c r="G61" s="111" t="s">
        <v>267</v>
      </c>
      <c r="H61" s="111" t="s">
        <v>253</v>
      </c>
      <c r="I61" s="111" t="s">
        <v>254</v>
      </c>
      <c r="J61" s="111" t="s">
        <v>255</v>
      </c>
      <c r="K61" s="111" t="s">
        <v>994</v>
      </c>
      <c r="L61" s="111"/>
      <c r="M61" s="111"/>
      <c r="N61" s="111" t="s">
        <v>648</v>
      </c>
      <c r="O61" s="111" t="s">
        <v>649</v>
      </c>
      <c r="P61" s="111" t="s">
        <v>650</v>
      </c>
    </row>
    <row r="62" spans="1:16" x14ac:dyDescent="0.2">
      <c r="C62" s="54" t="s">
        <v>277</v>
      </c>
      <c r="H62" s="111"/>
      <c r="I62" s="111"/>
      <c r="J62" s="111"/>
      <c r="K62" s="111"/>
      <c r="L62" s="111"/>
      <c r="M62" s="111"/>
      <c r="P62" s="114"/>
    </row>
    <row r="63" spans="1:16" x14ac:dyDescent="0.2">
      <c r="H63" s="111"/>
      <c r="I63" s="111"/>
      <c r="J63" s="111"/>
      <c r="K63" s="111"/>
      <c r="L63" s="111"/>
      <c r="M63" s="111"/>
      <c r="P63" s="114"/>
    </row>
    <row r="64" spans="1:16" x14ac:dyDescent="0.2">
      <c r="A64" s="54" t="s">
        <v>746</v>
      </c>
      <c r="B64" s="54" t="s">
        <v>747</v>
      </c>
      <c r="C64" s="54">
        <v>240</v>
      </c>
      <c r="D64" s="110">
        <v>9</v>
      </c>
      <c r="E64" s="110">
        <v>12</v>
      </c>
      <c r="F64" s="110">
        <v>0</v>
      </c>
      <c r="G64" s="110" t="s">
        <v>687</v>
      </c>
      <c r="H64" s="112"/>
      <c r="I64" s="112">
        <v>-2</v>
      </c>
      <c r="J64" s="112">
        <v>-4</v>
      </c>
      <c r="K64" s="112"/>
      <c r="L64" s="112"/>
      <c r="M64" s="112"/>
      <c r="N64" s="110" t="str">
        <f t="shared" ref="N64:N73" si="5">A64</f>
        <v>Bows</v>
      </c>
      <c r="O64" s="110">
        <v>50</v>
      </c>
      <c r="P64" s="114">
        <v>3.5</v>
      </c>
    </row>
    <row r="65" spans="1:16" x14ac:dyDescent="0.2">
      <c r="A65" s="54" t="s">
        <v>746</v>
      </c>
      <c r="B65" s="54" t="s">
        <v>748</v>
      </c>
      <c r="C65" s="54">
        <v>270</v>
      </c>
      <c r="D65" s="110">
        <v>10</v>
      </c>
      <c r="E65" s="110">
        <v>12</v>
      </c>
      <c r="F65" s="110">
        <v>1</v>
      </c>
      <c r="G65" s="110" t="s">
        <v>687</v>
      </c>
      <c r="H65" s="112"/>
      <c r="I65" s="112">
        <v>-2</v>
      </c>
      <c r="J65" s="112">
        <v>-4</v>
      </c>
      <c r="K65" s="112"/>
      <c r="L65" s="112"/>
      <c r="M65" s="112"/>
      <c r="N65" s="110" t="str">
        <f t="shared" si="5"/>
        <v>Bows</v>
      </c>
      <c r="O65" s="110">
        <v>50</v>
      </c>
      <c r="P65" s="114">
        <v>3.5</v>
      </c>
    </row>
    <row r="66" spans="1:16" x14ac:dyDescent="0.2">
      <c r="A66" s="54" t="s">
        <v>749</v>
      </c>
      <c r="B66" s="54" t="s">
        <v>750</v>
      </c>
      <c r="C66" s="54">
        <v>450</v>
      </c>
      <c r="D66" s="110">
        <v>12</v>
      </c>
      <c r="E66" s="110">
        <v>12</v>
      </c>
      <c r="F66" s="110">
        <v>2</v>
      </c>
      <c r="G66" s="110" t="s">
        <v>751</v>
      </c>
      <c r="H66" s="112"/>
      <c r="I66" s="112">
        <v>-1</v>
      </c>
      <c r="J66" s="112">
        <v>-2</v>
      </c>
      <c r="K66" s="112"/>
      <c r="L66" s="112"/>
      <c r="M66" s="112"/>
      <c r="N66" s="110" t="str">
        <f t="shared" si="5"/>
        <v>Longbows</v>
      </c>
      <c r="O66" s="110">
        <v>75</v>
      </c>
      <c r="P66" s="114">
        <v>5.5</v>
      </c>
    </row>
    <row r="67" spans="1:16" x14ac:dyDescent="0.2">
      <c r="A67" s="54" t="s">
        <v>749</v>
      </c>
      <c r="B67" s="54" t="s">
        <v>752</v>
      </c>
      <c r="C67" s="54">
        <v>600</v>
      </c>
      <c r="D67" s="110">
        <v>14</v>
      </c>
      <c r="E67" s="110">
        <v>12</v>
      </c>
      <c r="F67" s="110">
        <v>4</v>
      </c>
      <c r="G67" s="110" t="s">
        <v>751</v>
      </c>
      <c r="H67" s="112"/>
      <c r="I67" s="112">
        <v>-1</v>
      </c>
      <c r="J67" s="112">
        <v>-2</v>
      </c>
      <c r="K67" s="112"/>
      <c r="L67" s="112"/>
      <c r="M67" s="112"/>
      <c r="N67" s="110" t="str">
        <f t="shared" si="5"/>
        <v>Longbows</v>
      </c>
      <c r="O67" s="110">
        <v>75</v>
      </c>
      <c r="P67" s="114">
        <v>5.5</v>
      </c>
    </row>
    <row r="68" spans="1:16" x14ac:dyDescent="0.2">
      <c r="A68" s="54" t="s">
        <v>746</v>
      </c>
      <c r="B68" s="54" t="s">
        <v>753</v>
      </c>
      <c r="C68" s="54">
        <v>600</v>
      </c>
      <c r="D68" s="110">
        <v>13</v>
      </c>
      <c r="E68" s="110">
        <v>12</v>
      </c>
      <c r="F68" s="110">
        <v>3</v>
      </c>
      <c r="G68" s="110" t="s">
        <v>664</v>
      </c>
      <c r="H68" s="112"/>
      <c r="I68" s="112">
        <v>-1</v>
      </c>
      <c r="J68" s="112">
        <v>-2</v>
      </c>
      <c r="K68" s="112"/>
      <c r="L68" s="112"/>
      <c r="M68" s="112"/>
      <c r="N68" s="110" t="str">
        <f t="shared" si="5"/>
        <v>Bows</v>
      </c>
      <c r="O68" s="110">
        <v>75</v>
      </c>
      <c r="P68" s="114">
        <v>4.5</v>
      </c>
    </row>
    <row r="69" spans="1:16" x14ac:dyDescent="0.2">
      <c r="A69" s="54" t="s">
        <v>754</v>
      </c>
      <c r="B69" s="54" t="s">
        <v>755</v>
      </c>
      <c r="C69" s="54">
        <v>300</v>
      </c>
      <c r="D69" s="110">
        <v>10</v>
      </c>
      <c r="E69" s="110">
        <v>10</v>
      </c>
      <c r="F69" s="110">
        <v>5</v>
      </c>
      <c r="G69" s="110" t="s">
        <v>661</v>
      </c>
      <c r="H69" s="112"/>
      <c r="I69" s="112"/>
      <c r="J69" s="112">
        <v>-1</v>
      </c>
      <c r="K69" s="112"/>
      <c r="L69" s="112"/>
      <c r="M69" s="112"/>
      <c r="N69" s="110" t="str">
        <f t="shared" si="5"/>
        <v>Crossbows</v>
      </c>
      <c r="O69" s="110">
        <v>50</v>
      </c>
      <c r="P69" s="114">
        <v>5</v>
      </c>
    </row>
    <row r="70" spans="1:16" x14ac:dyDescent="0.2">
      <c r="A70" s="54" t="s">
        <v>754</v>
      </c>
      <c r="B70" s="54" t="s">
        <v>278</v>
      </c>
      <c r="C70" s="54">
        <v>450</v>
      </c>
      <c r="D70" s="110">
        <v>15</v>
      </c>
      <c r="E70" s="110">
        <v>10</v>
      </c>
      <c r="F70" s="110">
        <v>5</v>
      </c>
      <c r="G70" s="110" t="s">
        <v>690</v>
      </c>
      <c r="H70" s="112"/>
      <c r="I70" s="112"/>
      <c r="J70" s="112">
        <v>-1</v>
      </c>
      <c r="K70" s="112"/>
      <c r="L70" s="112"/>
      <c r="M70" s="112"/>
      <c r="N70" s="110" t="str">
        <f t="shared" si="5"/>
        <v>Crossbows</v>
      </c>
      <c r="O70" s="110">
        <v>75</v>
      </c>
      <c r="P70" s="114">
        <v>7</v>
      </c>
    </row>
    <row r="71" spans="1:16" x14ac:dyDescent="0.2">
      <c r="A71" s="54" t="s">
        <v>754</v>
      </c>
      <c r="B71" s="54" t="s">
        <v>756</v>
      </c>
      <c r="C71" s="54">
        <v>300</v>
      </c>
      <c r="D71" s="110">
        <v>21</v>
      </c>
      <c r="E71" s="110">
        <v>10</v>
      </c>
      <c r="F71" s="110">
        <v>4</v>
      </c>
      <c r="G71" s="110" t="s">
        <v>696</v>
      </c>
      <c r="H71" s="112"/>
      <c r="I71" s="112">
        <v>-1</v>
      </c>
      <c r="J71" s="112">
        <v>-2</v>
      </c>
      <c r="K71" s="112"/>
      <c r="L71" s="112"/>
      <c r="M71" s="112"/>
      <c r="N71" s="110" t="str">
        <f t="shared" si="5"/>
        <v>Crossbows</v>
      </c>
      <c r="O71" s="110">
        <v>150</v>
      </c>
      <c r="P71" s="114">
        <v>4.5</v>
      </c>
    </row>
    <row r="72" spans="1:16" x14ac:dyDescent="0.2">
      <c r="A72" s="54" t="s">
        <v>757</v>
      </c>
      <c r="B72" s="54" t="s">
        <v>758</v>
      </c>
      <c r="C72" s="54">
        <v>180</v>
      </c>
      <c r="D72" s="110">
        <v>6</v>
      </c>
      <c r="E72" s="110">
        <v>13</v>
      </c>
      <c r="F72" s="110">
        <v>0</v>
      </c>
      <c r="G72" s="110" t="s">
        <v>655</v>
      </c>
      <c r="H72" s="112">
        <v>-1</v>
      </c>
      <c r="I72" s="112">
        <v>-2</v>
      </c>
      <c r="J72" s="112">
        <v>-4</v>
      </c>
      <c r="K72" s="112"/>
      <c r="L72" s="112"/>
      <c r="M72" s="112"/>
      <c r="N72" s="110" t="str">
        <f t="shared" si="5"/>
        <v>Slings</v>
      </c>
      <c r="O72" s="110">
        <v>20</v>
      </c>
      <c r="P72" s="114">
        <v>2.5</v>
      </c>
    </row>
    <row r="73" spans="1:16" x14ac:dyDescent="0.2">
      <c r="A73" s="54" t="s">
        <v>757</v>
      </c>
      <c r="B73" s="54" t="s">
        <v>759</v>
      </c>
      <c r="C73" s="54">
        <v>240</v>
      </c>
      <c r="D73" s="110">
        <v>9</v>
      </c>
      <c r="E73" s="110">
        <v>13</v>
      </c>
      <c r="F73" s="110">
        <v>-2</v>
      </c>
      <c r="G73" s="110" t="s">
        <v>655</v>
      </c>
      <c r="H73" s="112">
        <v>-1</v>
      </c>
      <c r="I73" s="112">
        <v>-2</v>
      </c>
      <c r="J73" s="112">
        <v>-4</v>
      </c>
      <c r="K73" s="112"/>
      <c r="L73" s="112"/>
      <c r="M73" s="112"/>
      <c r="N73" s="110" t="str">
        <f t="shared" si="5"/>
        <v>Slings</v>
      </c>
      <c r="O73" s="110">
        <v>50</v>
      </c>
      <c r="P73" s="114">
        <v>2.5</v>
      </c>
    </row>
    <row r="74" spans="1:16" x14ac:dyDescent="0.2">
      <c r="H74" s="112"/>
      <c r="I74" s="112"/>
      <c r="J74" s="112"/>
      <c r="K74" s="112"/>
      <c r="L74" s="112"/>
      <c r="M74" s="112"/>
      <c r="P74" s="114"/>
    </row>
    <row r="75" spans="1:16" x14ac:dyDescent="0.2">
      <c r="A75" s="55" t="s">
        <v>279</v>
      </c>
      <c r="C75" s="55" t="s">
        <v>275</v>
      </c>
      <c r="D75" s="111" t="s">
        <v>643</v>
      </c>
      <c r="E75" s="111" t="s">
        <v>644</v>
      </c>
      <c r="F75" s="111" t="s">
        <v>745</v>
      </c>
      <c r="G75" s="111" t="s">
        <v>267</v>
      </c>
      <c r="H75" s="111" t="s">
        <v>253</v>
      </c>
      <c r="I75" s="111" t="s">
        <v>254</v>
      </c>
      <c r="J75" s="111" t="s">
        <v>255</v>
      </c>
      <c r="K75" s="111" t="s">
        <v>994</v>
      </c>
      <c r="L75" s="111"/>
      <c r="M75" s="111"/>
      <c r="N75" s="111" t="s">
        <v>648</v>
      </c>
      <c r="O75" s="111" t="s">
        <v>649</v>
      </c>
      <c r="P75" s="111" t="s">
        <v>650</v>
      </c>
    </row>
    <row r="76" spans="1:16" x14ac:dyDescent="0.2">
      <c r="C76" s="54" t="s">
        <v>277</v>
      </c>
      <c r="H76" s="111"/>
      <c r="I76" s="111"/>
      <c r="J76" s="111"/>
      <c r="K76" s="111"/>
      <c r="L76" s="111"/>
      <c r="M76" s="111"/>
      <c r="P76" s="114"/>
    </row>
    <row r="77" spans="1:16" x14ac:dyDescent="0.2">
      <c r="H77" s="111"/>
      <c r="I77" s="111"/>
      <c r="J77" s="111"/>
      <c r="K77" s="111"/>
      <c r="L77" s="111"/>
      <c r="M77" s="111"/>
      <c r="P77" s="114"/>
    </row>
    <row r="78" spans="1:16" x14ac:dyDescent="0.2">
      <c r="A78" s="54" t="s">
        <v>1345</v>
      </c>
      <c r="B78" s="54" t="s">
        <v>280</v>
      </c>
      <c r="C78" s="54">
        <v>30</v>
      </c>
      <c r="D78" s="110">
        <v>6</v>
      </c>
      <c r="E78" s="110">
        <v>11</v>
      </c>
      <c r="F78" s="110">
        <v>4</v>
      </c>
      <c r="G78" s="110" t="s">
        <v>677</v>
      </c>
      <c r="H78" s="112">
        <v>-1</v>
      </c>
      <c r="I78" s="112">
        <v>-2</v>
      </c>
      <c r="J78" s="112">
        <v>-3</v>
      </c>
      <c r="K78" s="112">
        <v>1</v>
      </c>
      <c r="L78" s="112"/>
      <c r="M78" s="112"/>
      <c r="N78" s="110" t="str">
        <f>A78</f>
        <v>Knives</v>
      </c>
      <c r="O78" s="110">
        <v>20</v>
      </c>
      <c r="P78" s="114">
        <v>3.5</v>
      </c>
    </row>
    <row r="79" spans="1:16" x14ac:dyDescent="0.2">
      <c r="A79" s="54" t="s">
        <v>675</v>
      </c>
      <c r="B79" s="54" t="s">
        <v>1347</v>
      </c>
      <c r="C79" s="54">
        <v>60</v>
      </c>
      <c r="D79" s="110">
        <v>9</v>
      </c>
      <c r="E79" s="110">
        <v>11</v>
      </c>
      <c r="F79" s="110">
        <v>0</v>
      </c>
      <c r="G79" s="110" t="s">
        <v>687</v>
      </c>
      <c r="H79" s="112"/>
      <c r="I79" s="112">
        <v>-1</v>
      </c>
      <c r="J79" s="112">
        <v>-2</v>
      </c>
      <c r="K79" s="112">
        <v>1</v>
      </c>
      <c r="L79" s="112"/>
      <c r="M79" s="112"/>
      <c r="N79" s="110" t="str">
        <f>A79</f>
        <v>Axes</v>
      </c>
      <c r="O79" s="110">
        <v>50</v>
      </c>
      <c r="P79" s="114">
        <v>3.5</v>
      </c>
    </row>
    <row r="80" spans="1:16" x14ac:dyDescent="0.2">
      <c r="A80" s="54" t="s">
        <v>675</v>
      </c>
      <c r="B80" s="54" t="s">
        <v>281</v>
      </c>
      <c r="C80" s="54">
        <v>50</v>
      </c>
      <c r="D80" s="110">
        <v>13</v>
      </c>
      <c r="E80" s="110">
        <v>11</v>
      </c>
      <c r="F80" s="110">
        <v>-1</v>
      </c>
      <c r="G80" s="110" t="s">
        <v>664</v>
      </c>
      <c r="H80" s="112"/>
      <c r="I80" s="112"/>
      <c r="J80" s="112">
        <v>-1</v>
      </c>
      <c r="K80" s="112">
        <v>1</v>
      </c>
      <c r="L80" s="112"/>
      <c r="M80" s="112"/>
      <c r="N80" s="110" t="str">
        <f>A80</f>
        <v>Axes</v>
      </c>
      <c r="O80" s="110">
        <v>75</v>
      </c>
      <c r="P80" s="114">
        <v>4.5</v>
      </c>
    </row>
    <row r="81" spans="1:16" x14ac:dyDescent="0.2">
      <c r="A81" s="54" t="s">
        <v>685</v>
      </c>
      <c r="B81" s="54" t="s">
        <v>760</v>
      </c>
      <c r="C81" s="54">
        <v>60</v>
      </c>
      <c r="D81" s="110">
        <v>10</v>
      </c>
      <c r="E81" s="110">
        <v>11</v>
      </c>
      <c r="F81" s="110">
        <v>1</v>
      </c>
      <c r="G81" s="110" t="s">
        <v>696</v>
      </c>
      <c r="H81" s="112"/>
      <c r="I81" s="112">
        <v>-1</v>
      </c>
      <c r="J81" s="112">
        <v>-2</v>
      </c>
      <c r="K81" s="112"/>
      <c r="L81" s="112"/>
      <c r="M81" s="112"/>
      <c r="N81" s="110" t="str">
        <f>A81</f>
        <v>Hammers</v>
      </c>
      <c r="O81" s="110">
        <v>50</v>
      </c>
      <c r="P81" s="114">
        <v>4.5</v>
      </c>
    </row>
    <row r="82" spans="1:16" x14ac:dyDescent="0.2">
      <c r="A82" s="54" t="s">
        <v>685</v>
      </c>
      <c r="B82" s="54" t="s">
        <v>761</v>
      </c>
      <c r="C82" s="54">
        <v>50</v>
      </c>
      <c r="D82" s="110">
        <v>14</v>
      </c>
      <c r="E82" s="110">
        <v>11</v>
      </c>
      <c r="F82" s="110">
        <v>0</v>
      </c>
      <c r="G82" s="110" t="s">
        <v>718</v>
      </c>
      <c r="H82" s="112"/>
      <c r="I82" s="112"/>
      <c r="J82" s="112">
        <v>-1</v>
      </c>
      <c r="K82" s="112"/>
      <c r="L82" s="112"/>
      <c r="M82" s="112"/>
      <c r="N82" s="110" t="str">
        <f>A82</f>
        <v>Hammers</v>
      </c>
      <c r="O82" s="110">
        <v>75</v>
      </c>
      <c r="P82" s="114">
        <v>6.5</v>
      </c>
    </row>
    <row r="83" spans="1:16" x14ac:dyDescent="0.2">
      <c r="A83" s="54" t="s">
        <v>723</v>
      </c>
      <c r="B83" s="54" t="s">
        <v>762</v>
      </c>
      <c r="C83" s="54">
        <v>90</v>
      </c>
      <c r="D83" s="110">
        <v>9</v>
      </c>
      <c r="E83" s="110">
        <v>11</v>
      </c>
      <c r="F83" s="110">
        <v>2</v>
      </c>
      <c r="G83" s="110" t="s">
        <v>687</v>
      </c>
      <c r="H83" s="112"/>
      <c r="I83" s="112">
        <v>-1</v>
      </c>
      <c r="J83" s="112">
        <v>-3</v>
      </c>
      <c r="K83" s="112"/>
      <c r="L83" s="112"/>
      <c r="M83" s="112"/>
      <c r="N83" s="110" t="s">
        <v>723</v>
      </c>
      <c r="O83" s="110">
        <v>75</v>
      </c>
      <c r="P83" s="114">
        <v>3.5</v>
      </c>
    </row>
    <row r="84" spans="1:16" x14ac:dyDescent="0.2">
      <c r="A84" s="54" t="s">
        <v>723</v>
      </c>
      <c r="B84" s="54" t="s">
        <v>763</v>
      </c>
      <c r="C84" s="54">
        <v>90</v>
      </c>
      <c r="D84" s="110">
        <v>10</v>
      </c>
      <c r="E84" s="110">
        <v>11</v>
      </c>
      <c r="F84" s="110">
        <v>3</v>
      </c>
      <c r="G84" s="110" t="s">
        <v>687</v>
      </c>
      <c r="H84" s="112"/>
      <c r="I84" s="112">
        <v>-1</v>
      </c>
      <c r="J84" s="112">
        <v>-2</v>
      </c>
      <c r="K84" s="112">
        <v>1</v>
      </c>
      <c r="L84" s="112"/>
      <c r="M84" s="112"/>
      <c r="N84" s="110" t="str">
        <f t="shared" ref="N84:N89" si="6">A84</f>
        <v>Spears</v>
      </c>
      <c r="O84" s="110">
        <v>75</v>
      </c>
      <c r="P84" s="114">
        <v>3.5</v>
      </c>
    </row>
    <row r="85" spans="1:16" x14ac:dyDescent="0.2">
      <c r="A85" s="54" t="s">
        <v>723</v>
      </c>
      <c r="B85" s="54" t="s">
        <v>764</v>
      </c>
      <c r="C85" s="54">
        <v>90</v>
      </c>
      <c r="D85" s="110">
        <v>12</v>
      </c>
      <c r="E85" s="110">
        <v>11</v>
      </c>
      <c r="F85" s="110">
        <v>2</v>
      </c>
      <c r="G85" s="110" t="s">
        <v>664</v>
      </c>
      <c r="H85" s="112"/>
      <c r="I85" s="112"/>
      <c r="J85" s="112">
        <v>-1</v>
      </c>
      <c r="K85" s="112">
        <v>1</v>
      </c>
      <c r="L85" s="112"/>
      <c r="M85" s="112"/>
      <c r="N85" s="110" t="str">
        <f t="shared" si="6"/>
        <v>Spears</v>
      </c>
      <c r="O85" s="110">
        <v>100</v>
      </c>
      <c r="P85" s="114">
        <v>4.5</v>
      </c>
    </row>
    <row r="86" spans="1:16" x14ac:dyDescent="0.2">
      <c r="A86" s="54" t="s">
        <v>765</v>
      </c>
      <c r="B86" s="54" t="s">
        <v>766</v>
      </c>
      <c r="C86" s="54">
        <v>45</v>
      </c>
      <c r="D86" s="110">
        <v>12</v>
      </c>
      <c r="E86" s="110">
        <v>12</v>
      </c>
      <c r="F86" s="110">
        <v>1</v>
      </c>
      <c r="G86" s="110" t="s">
        <v>696</v>
      </c>
      <c r="H86" s="112"/>
      <c r="I86" s="112">
        <v>-1</v>
      </c>
      <c r="J86" s="112">
        <v>-2</v>
      </c>
      <c r="K86" s="112"/>
      <c r="L86" s="112"/>
      <c r="M86" s="112"/>
      <c r="N86" s="110" t="str">
        <f t="shared" si="6"/>
        <v>Harpoons</v>
      </c>
      <c r="O86" s="110">
        <v>100</v>
      </c>
      <c r="P86" s="114">
        <v>4.5</v>
      </c>
    </row>
    <row r="87" spans="1:16" x14ac:dyDescent="0.2">
      <c r="A87" s="54" t="s">
        <v>767</v>
      </c>
      <c r="B87" s="54" t="s">
        <v>768</v>
      </c>
      <c r="C87" s="54">
        <v>9</v>
      </c>
      <c r="D87" s="110">
        <v>5</v>
      </c>
      <c r="E87" s="110">
        <v>12</v>
      </c>
      <c r="F87" s="110">
        <v>-2</v>
      </c>
      <c r="G87" s="110">
        <v>0</v>
      </c>
      <c r="H87" s="112"/>
      <c r="I87" s="112"/>
      <c r="J87" s="112"/>
      <c r="K87" s="112"/>
      <c r="L87" s="112"/>
      <c r="M87" s="112"/>
      <c r="N87" s="110" t="str">
        <f t="shared" si="6"/>
        <v>Nets</v>
      </c>
      <c r="P87" s="114"/>
    </row>
    <row r="88" spans="1:16" x14ac:dyDescent="0.2">
      <c r="A88" s="54" t="s">
        <v>769</v>
      </c>
      <c r="B88" s="54" t="s">
        <v>770</v>
      </c>
      <c r="C88" s="54">
        <v>30</v>
      </c>
      <c r="D88" s="110">
        <v>7</v>
      </c>
      <c r="E88" s="110">
        <v>15</v>
      </c>
      <c r="F88" s="110">
        <v>-1</v>
      </c>
      <c r="G88" s="110">
        <v>0</v>
      </c>
      <c r="H88" s="112"/>
      <c r="I88" s="112"/>
      <c r="J88" s="112"/>
      <c r="K88" s="112"/>
      <c r="L88" s="112"/>
      <c r="M88" s="112"/>
      <c r="N88" s="110" t="str">
        <f t="shared" si="6"/>
        <v>Lassoos</v>
      </c>
      <c r="P88" s="114"/>
    </row>
    <row r="89" spans="1:16" x14ac:dyDescent="0.2">
      <c r="A89" s="54" t="s">
        <v>771</v>
      </c>
      <c r="B89" s="54" t="s">
        <v>771</v>
      </c>
      <c r="C89" s="54">
        <v>90</v>
      </c>
      <c r="D89" s="110">
        <v>12</v>
      </c>
      <c r="E89" s="110">
        <v>14</v>
      </c>
      <c r="F89" s="110">
        <v>1</v>
      </c>
      <c r="G89" s="110" t="s">
        <v>772</v>
      </c>
      <c r="H89" s="112"/>
      <c r="I89" s="112"/>
      <c r="J89" s="112">
        <v>-1</v>
      </c>
      <c r="K89" s="112"/>
      <c r="L89" s="112"/>
      <c r="M89" s="112"/>
      <c r="N89" s="110" t="str">
        <f t="shared" si="6"/>
        <v>Bolas</v>
      </c>
      <c r="P89" s="114">
        <v>1.5</v>
      </c>
    </row>
    <row r="90" spans="1:16" x14ac:dyDescent="0.2">
      <c r="B90" s="54" t="s">
        <v>773</v>
      </c>
      <c r="C90" s="54">
        <v>60</v>
      </c>
      <c r="D90" s="110" t="s">
        <v>305</v>
      </c>
      <c r="E90" s="110">
        <v>10</v>
      </c>
      <c r="G90" s="110" t="s">
        <v>774</v>
      </c>
      <c r="H90" s="112">
        <v>-1</v>
      </c>
      <c r="I90" s="112">
        <v>-2</v>
      </c>
      <c r="J90" s="112">
        <v>-3</v>
      </c>
      <c r="K90" s="112"/>
      <c r="L90" s="112"/>
      <c r="M90" s="112"/>
    </row>
    <row r="93" spans="1:16" x14ac:dyDescent="0.2">
      <c r="A93" s="55" t="s">
        <v>775</v>
      </c>
      <c r="D93" s="111" t="s">
        <v>643</v>
      </c>
      <c r="E93" s="111" t="s">
        <v>644</v>
      </c>
      <c r="F93" s="111" t="s">
        <v>645</v>
      </c>
      <c r="G93" s="111" t="s">
        <v>267</v>
      </c>
      <c r="H93" s="111" t="s">
        <v>253</v>
      </c>
      <c r="I93" s="111" t="s">
        <v>254</v>
      </c>
      <c r="J93" s="111" t="s">
        <v>255</v>
      </c>
      <c r="K93" s="111"/>
      <c r="L93" s="111"/>
      <c r="M93" s="111"/>
      <c r="N93" s="111" t="s">
        <v>648</v>
      </c>
      <c r="O93" s="111" t="s">
        <v>776</v>
      </c>
      <c r="P93" s="111" t="s">
        <v>650</v>
      </c>
    </row>
    <row r="95" spans="1:16" x14ac:dyDescent="0.2">
      <c r="A95" s="54" t="s">
        <v>777</v>
      </c>
      <c r="B95" s="54" t="s">
        <v>778</v>
      </c>
      <c r="D95" s="110">
        <v>4</v>
      </c>
      <c r="E95" s="110" t="s">
        <v>51</v>
      </c>
      <c r="G95" s="110" t="s">
        <v>743</v>
      </c>
      <c r="H95" s="110">
        <v>-1</v>
      </c>
      <c r="I95" s="110">
        <v>-3</v>
      </c>
      <c r="J95" s="110">
        <v>-6</v>
      </c>
      <c r="O95" s="110">
        <v>1</v>
      </c>
      <c r="P95" s="110">
        <v>1.5</v>
      </c>
    </row>
    <row r="96" spans="1:16" x14ac:dyDescent="0.2">
      <c r="A96" s="54" t="s">
        <v>777</v>
      </c>
      <c r="B96" s="54" t="s">
        <v>779</v>
      </c>
      <c r="D96" s="110">
        <v>6</v>
      </c>
      <c r="E96" s="110">
        <v>7</v>
      </c>
      <c r="G96" s="110" t="s">
        <v>658</v>
      </c>
      <c r="H96" s="110">
        <v>-1</v>
      </c>
      <c r="I96" s="110">
        <v>-3</v>
      </c>
      <c r="J96" s="110">
        <v>-6</v>
      </c>
      <c r="O96" s="110">
        <v>1</v>
      </c>
      <c r="P96" s="110">
        <v>2</v>
      </c>
    </row>
    <row r="97" spans="1:16" x14ac:dyDescent="0.2">
      <c r="A97" s="54" t="s">
        <v>777</v>
      </c>
      <c r="B97" s="54" t="s">
        <v>780</v>
      </c>
      <c r="D97" s="110">
        <v>8</v>
      </c>
      <c r="E97" s="110" t="s">
        <v>51</v>
      </c>
      <c r="G97" s="110" t="s">
        <v>781</v>
      </c>
      <c r="H97" s="110">
        <v>-1</v>
      </c>
      <c r="I97" s="110">
        <v>-3</v>
      </c>
      <c r="J97" s="110">
        <v>-6</v>
      </c>
      <c r="O97" s="110">
        <v>1</v>
      </c>
      <c r="P97" s="110">
        <v>2.5</v>
      </c>
    </row>
    <row r="98" spans="1:16" x14ac:dyDescent="0.2">
      <c r="A98" s="54" t="s">
        <v>777</v>
      </c>
      <c r="B98" s="54" t="s">
        <v>782</v>
      </c>
      <c r="D98" s="110" t="s">
        <v>51</v>
      </c>
      <c r="E98" s="110" t="s">
        <v>51</v>
      </c>
      <c r="G98" s="110" t="s">
        <v>743</v>
      </c>
      <c r="H98" s="110">
        <v>-1</v>
      </c>
      <c r="I98" s="110">
        <v>-4</v>
      </c>
      <c r="J98" s="110">
        <v>-8</v>
      </c>
      <c r="O98" s="110">
        <v>1</v>
      </c>
      <c r="P98" s="110">
        <v>1.5</v>
      </c>
    </row>
    <row r="99" spans="1:16" x14ac:dyDescent="0.2">
      <c r="A99" s="54" t="s">
        <v>777</v>
      </c>
      <c r="B99" s="54" t="s">
        <v>783</v>
      </c>
      <c r="D99" s="110">
        <v>5</v>
      </c>
      <c r="E99" s="110">
        <v>6</v>
      </c>
      <c r="G99" s="110">
        <v>1</v>
      </c>
      <c r="H99" s="110">
        <v>-1</v>
      </c>
      <c r="I99" s="110">
        <v>-4</v>
      </c>
      <c r="J99" s="110">
        <v>-8</v>
      </c>
      <c r="O99" s="110">
        <v>1</v>
      </c>
      <c r="P99" s="110">
        <v>1</v>
      </c>
    </row>
    <row r="100" spans="1:16" x14ac:dyDescent="0.2">
      <c r="A100" s="54" t="s">
        <v>777</v>
      </c>
      <c r="B100" s="54" t="s">
        <v>784</v>
      </c>
      <c r="D100" s="110">
        <v>6</v>
      </c>
      <c r="E100" s="110">
        <v>8</v>
      </c>
      <c r="G100" s="110" t="s">
        <v>655</v>
      </c>
      <c r="H100" s="110">
        <v>-1</v>
      </c>
      <c r="I100" s="110">
        <v>-3</v>
      </c>
      <c r="J100" s="110">
        <v>-6</v>
      </c>
      <c r="O100" s="110">
        <v>2</v>
      </c>
      <c r="P100" s="110">
        <v>2.5</v>
      </c>
    </row>
    <row r="101" spans="1:16" x14ac:dyDescent="0.2">
      <c r="A101" s="54" t="s">
        <v>777</v>
      </c>
      <c r="B101" s="54" t="s">
        <v>785</v>
      </c>
      <c r="D101" s="110">
        <v>8</v>
      </c>
      <c r="E101" s="110">
        <v>12</v>
      </c>
      <c r="G101" s="110" t="s">
        <v>687</v>
      </c>
      <c r="H101" s="110">
        <v>-1</v>
      </c>
      <c r="I101" s="110">
        <v>-3</v>
      </c>
      <c r="J101" s="110">
        <v>-6</v>
      </c>
      <c r="O101" s="110">
        <v>3</v>
      </c>
      <c r="P101" s="110">
        <v>3.5</v>
      </c>
    </row>
    <row r="102" spans="1:16" x14ac:dyDescent="0.2">
      <c r="A102" s="54" t="s">
        <v>777</v>
      </c>
      <c r="B102" s="54" t="s">
        <v>786</v>
      </c>
      <c r="D102" s="110">
        <v>6</v>
      </c>
      <c r="E102" s="110">
        <v>8</v>
      </c>
      <c r="G102" s="110" t="s">
        <v>655</v>
      </c>
      <c r="H102" s="110" t="s">
        <v>51</v>
      </c>
      <c r="I102" s="110" t="s">
        <v>51</v>
      </c>
      <c r="J102" s="110" t="s">
        <v>51</v>
      </c>
      <c r="O102" s="110">
        <v>2</v>
      </c>
    </row>
    <row r="103" spans="1:16" x14ac:dyDescent="0.2">
      <c r="A103" s="54" t="s">
        <v>777</v>
      </c>
      <c r="B103" s="54" t="s">
        <v>787</v>
      </c>
      <c r="D103" s="110" t="s">
        <v>51</v>
      </c>
      <c r="E103" s="110">
        <v>14</v>
      </c>
      <c r="G103" s="110" t="s">
        <v>51</v>
      </c>
      <c r="H103" s="110" t="s">
        <v>51</v>
      </c>
      <c r="I103" s="110" t="s">
        <v>51</v>
      </c>
      <c r="J103" s="110" t="s">
        <v>51</v>
      </c>
      <c r="O103" s="110">
        <v>3</v>
      </c>
    </row>
    <row r="104" spans="1:16" x14ac:dyDescent="0.2">
      <c r="A104" s="54" t="s">
        <v>777</v>
      </c>
      <c r="B104" s="54" t="s">
        <v>788</v>
      </c>
      <c r="D104" s="110" t="s">
        <v>51</v>
      </c>
      <c r="E104" s="110">
        <v>17</v>
      </c>
      <c r="G104" s="110" t="s">
        <v>51</v>
      </c>
      <c r="H104" s="110" t="s">
        <v>51</v>
      </c>
      <c r="I104" s="110" t="s">
        <v>51</v>
      </c>
      <c r="J104" s="110" t="s">
        <v>51</v>
      </c>
      <c r="O104" s="110">
        <v>4</v>
      </c>
    </row>
    <row r="105" spans="1:16" x14ac:dyDescent="0.2">
      <c r="A105" s="54" t="s">
        <v>777</v>
      </c>
      <c r="B105" s="54" t="s">
        <v>789</v>
      </c>
      <c r="D105" s="110">
        <v>9</v>
      </c>
      <c r="E105" s="110">
        <v>9</v>
      </c>
      <c r="O105" s="110">
        <v>1</v>
      </c>
    </row>
    <row r="106" spans="1:16" x14ac:dyDescent="0.2">
      <c r="A106" s="54" t="s">
        <v>777</v>
      </c>
      <c r="B106" s="54" t="s">
        <v>790</v>
      </c>
      <c r="D106" s="110">
        <v>12</v>
      </c>
      <c r="E106" s="110">
        <v>12</v>
      </c>
      <c r="O106" s="110">
        <v>1</v>
      </c>
    </row>
    <row r="107" spans="1:16" x14ac:dyDescent="0.2">
      <c r="A107" s="54" t="s">
        <v>777</v>
      </c>
      <c r="B107" s="54" t="s">
        <v>791</v>
      </c>
      <c r="D107" s="110">
        <v>9</v>
      </c>
      <c r="E107" s="110" t="s">
        <v>51</v>
      </c>
      <c r="O107" s="110">
        <v>1</v>
      </c>
    </row>
    <row r="108" spans="1:16" x14ac:dyDescent="0.2">
      <c r="A108" s="54" t="s">
        <v>777</v>
      </c>
      <c r="B108" s="54" t="s">
        <v>792</v>
      </c>
      <c r="D108" s="110" t="s">
        <v>51</v>
      </c>
      <c r="E108" s="110">
        <v>15</v>
      </c>
      <c r="O108" s="110">
        <v>3</v>
      </c>
    </row>
    <row r="109" spans="1:16" x14ac:dyDescent="0.2">
      <c r="A109" s="54" t="s">
        <v>777</v>
      </c>
      <c r="B109" s="54" t="s">
        <v>793</v>
      </c>
      <c r="D109" s="110" t="s">
        <v>51</v>
      </c>
      <c r="E109" s="110">
        <v>16</v>
      </c>
      <c r="O109" s="110">
        <v>3</v>
      </c>
    </row>
  </sheetData>
  <sheetProtection algorithmName="SHA-512" hashValue="w+kMQknM5TjP3MuGIO94Na8JcwukXofQ8Bm8lAuF0dWr5B0jLwyVXGPnwm1BA7ZxGw2dD5+rY9PHR5ZCuWgO0Q==" saltValue="MhQc0ZseSUcvjsc/HyBjYQ==" spinCount="100000" sheet="1" objects="1" scenarios="1"/>
  <printOptions gridLines="1" gridLinesSet="0"/>
  <pageMargins left="0.75" right="0.75" top="1" bottom="1" header="0.5" footer="0.5"/>
  <pageSetup paperSize="9" orientation="portrait" horizontalDpi="300" verticalDpi="300" r:id="rId1"/>
  <headerFooter alignWithMargins="0">
    <oddHeader>&amp;A</oddHeader>
    <oddFooter>Page &amp;P</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6FE0A-2D9A-4B99-A59A-F6725D329542}">
  <sheetPr>
    <tabColor theme="1" tint="4.9989318521683403E-2"/>
  </sheetPr>
  <dimension ref="A1:Z40"/>
  <sheetViews>
    <sheetView workbookViewId="0"/>
  </sheetViews>
  <sheetFormatPr defaultColWidth="9" defaultRowHeight="12.75" x14ac:dyDescent="0.2"/>
  <cols>
    <col min="1" max="1" width="28" style="56" customWidth="1"/>
    <col min="2" max="26" width="9.375" style="56" customWidth="1"/>
    <col min="27" max="16384" width="9" style="56"/>
  </cols>
  <sheetData>
    <row r="1" spans="1:26" s="209" customFormat="1" ht="16.149999999999999" customHeight="1" x14ac:dyDescent="0.2">
      <c r="A1" s="208" t="s">
        <v>794</v>
      </c>
      <c r="B1" s="208">
        <v>0</v>
      </c>
      <c r="C1" s="208">
        <v>1</v>
      </c>
      <c r="D1" s="208">
        <v>2</v>
      </c>
      <c r="E1" s="208">
        <v>3</v>
      </c>
      <c r="F1" s="208">
        <v>4</v>
      </c>
      <c r="G1" s="208">
        <v>5</v>
      </c>
      <c r="H1" s="208">
        <v>6</v>
      </c>
      <c r="I1" s="208">
        <v>7</v>
      </c>
      <c r="J1" s="208">
        <v>8</v>
      </c>
      <c r="K1" s="208">
        <v>9</v>
      </c>
      <c r="L1" s="208">
        <v>10</v>
      </c>
      <c r="M1" s="208">
        <v>11</v>
      </c>
      <c r="N1" s="208">
        <v>12</v>
      </c>
      <c r="O1" s="208">
        <v>13</v>
      </c>
      <c r="P1" s="208">
        <v>14</v>
      </c>
      <c r="Q1" s="208">
        <v>15</v>
      </c>
      <c r="R1" s="208">
        <v>16</v>
      </c>
      <c r="S1" s="208">
        <v>17</v>
      </c>
      <c r="T1" s="208">
        <v>18</v>
      </c>
      <c r="U1" s="208">
        <v>19</v>
      </c>
      <c r="V1" s="208">
        <v>20</v>
      </c>
      <c r="W1" s="208">
        <v>21</v>
      </c>
      <c r="X1" s="208">
        <v>22</v>
      </c>
      <c r="Y1" s="208">
        <v>23</v>
      </c>
      <c r="Z1" s="208" t="s">
        <v>795</v>
      </c>
    </row>
    <row r="2" spans="1:26" s="77" customFormat="1" ht="12.75" customHeight="1" x14ac:dyDescent="0.2">
      <c r="A2" s="58" t="s">
        <v>796</v>
      </c>
      <c r="B2" s="58" t="s">
        <v>797</v>
      </c>
      <c r="C2" s="58" t="s">
        <v>798</v>
      </c>
      <c r="D2" s="58" t="s">
        <v>799</v>
      </c>
      <c r="E2" s="58" t="s">
        <v>800</v>
      </c>
      <c r="F2" s="58" t="s">
        <v>801</v>
      </c>
      <c r="G2" s="58" t="s">
        <v>802</v>
      </c>
      <c r="H2" s="58" t="s">
        <v>803</v>
      </c>
      <c r="I2" s="58" t="s">
        <v>803</v>
      </c>
      <c r="J2" s="58" t="s">
        <v>804</v>
      </c>
      <c r="K2" s="58" t="s">
        <v>804</v>
      </c>
      <c r="L2" s="58" t="s">
        <v>805</v>
      </c>
      <c r="M2" s="58" t="s">
        <v>805</v>
      </c>
      <c r="N2" s="58" t="s">
        <v>806</v>
      </c>
      <c r="O2" s="58" t="s">
        <v>806</v>
      </c>
      <c r="P2" s="58" t="s">
        <v>807</v>
      </c>
      <c r="Q2" s="58" t="s">
        <v>807</v>
      </c>
      <c r="R2" s="58" t="s">
        <v>808</v>
      </c>
      <c r="S2" s="58" t="s">
        <v>808</v>
      </c>
      <c r="T2" s="58" t="s">
        <v>809</v>
      </c>
      <c r="U2" s="58" t="s">
        <v>809</v>
      </c>
      <c r="V2" s="58" t="s">
        <v>810</v>
      </c>
      <c r="W2" s="58" t="s">
        <v>810</v>
      </c>
      <c r="X2" s="58" t="s">
        <v>811</v>
      </c>
      <c r="Y2" s="58" t="s">
        <v>811</v>
      </c>
      <c r="Z2" s="58" t="s">
        <v>812</v>
      </c>
    </row>
    <row r="3" spans="1:26" ht="12.75" customHeight="1" x14ac:dyDescent="0.2">
      <c r="A3" s="58" t="s">
        <v>813</v>
      </c>
      <c r="B3" s="58" t="s">
        <v>814</v>
      </c>
      <c r="C3" s="58" t="s">
        <v>815</v>
      </c>
      <c r="D3" s="58" t="s">
        <v>816</v>
      </c>
      <c r="E3" s="58" t="s">
        <v>817</v>
      </c>
      <c r="F3" s="58" t="s">
        <v>818</v>
      </c>
      <c r="G3" s="58" t="s">
        <v>819</v>
      </c>
      <c r="H3" s="58" t="s">
        <v>820</v>
      </c>
      <c r="I3" s="58" t="s">
        <v>821</v>
      </c>
      <c r="J3" s="58" t="s">
        <v>822</v>
      </c>
      <c r="K3" s="58" t="s">
        <v>823</v>
      </c>
      <c r="L3" s="58" t="s">
        <v>824</v>
      </c>
      <c r="M3" s="58" t="s">
        <v>825</v>
      </c>
      <c r="N3" s="58" t="s">
        <v>826</v>
      </c>
      <c r="O3" s="58" t="s">
        <v>827</v>
      </c>
      <c r="P3" s="58" t="s">
        <v>828</v>
      </c>
      <c r="Q3" s="58" t="s">
        <v>829</v>
      </c>
      <c r="R3" s="58" t="s">
        <v>830</v>
      </c>
      <c r="S3" s="58" t="s">
        <v>831</v>
      </c>
      <c r="T3" s="58" t="s">
        <v>832</v>
      </c>
      <c r="U3" s="58" t="s">
        <v>833</v>
      </c>
      <c r="V3" s="58" t="s">
        <v>834</v>
      </c>
      <c r="W3" s="58" t="s">
        <v>835</v>
      </c>
      <c r="X3" s="58" t="s">
        <v>836</v>
      </c>
      <c r="Y3" s="58" t="s">
        <v>837</v>
      </c>
      <c r="Z3" s="58" t="s">
        <v>838</v>
      </c>
    </row>
    <row r="4" spans="1:26" ht="12.75" customHeight="1" x14ac:dyDescent="0.2">
      <c r="A4" s="58" t="s">
        <v>839</v>
      </c>
      <c r="B4" s="58"/>
      <c r="C4" s="58" t="s">
        <v>840</v>
      </c>
      <c r="D4" s="58" t="s">
        <v>841</v>
      </c>
      <c r="E4" s="58" t="s">
        <v>842</v>
      </c>
      <c r="F4" s="58" t="s">
        <v>843</v>
      </c>
      <c r="G4" s="58" t="s">
        <v>844</v>
      </c>
      <c r="H4" s="58" t="s">
        <v>845</v>
      </c>
      <c r="I4" s="58" t="s">
        <v>846</v>
      </c>
      <c r="J4" s="58" t="s">
        <v>847</v>
      </c>
      <c r="K4" s="58" t="s">
        <v>848</v>
      </c>
      <c r="L4" s="58" t="s">
        <v>849</v>
      </c>
      <c r="M4" s="58" t="s">
        <v>850</v>
      </c>
      <c r="N4" s="58" t="s">
        <v>851</v>
      </c>
      <c r="O4" s="58" t="s">
        <v>852</v>
      </c>
      <c r="P4" s="58" t="s">
        <v>853</v>
      </c>
      <c r="Q4" s="58" t="s">
        <v>854</v>
      </c>
      <c r="R4" s="58" t="s">
        <v>855</v>
      </c>
      <c r="S4" s="58" t="s">
        <v>856</v>
      </c>
      <c r="T4" s="58" t="s">
        <v>857</v>
      </c>
      <c r="U4" s="58" t="s">
        <v>858</v>
      </c>
      <c r="V4" s="58" t="s">
        <v>859</v>
      </c>
      <c r="W4" s="58" t="s">
        <v>860</v>
      </c>
      <c r="X4" s="58" t="s">
        <v>861</v>
      </c>
      <c r="Y4" s="58" t="s">
        <v>862</v>
      </c>
      <c r="Z4" s="58" t="s">
        <v>863</v>
      </c>
    </row>
    <row r="5" spans="1:26" ht="12.75" customHeight="1" x14ac:dyDescent="0.2">
      <c r="A5" s="58" t="s">
        <v>864</v>
      </c>
      <c r="B5" s="70"/>
      <c r="C5" s="58" t="s">
        <v>865</v>
      </c>
      <c r="D5" s="58" t="s">
        <v>866</v>
      </c>
      <c r="E5" s="58" t="s">
        <v>867</v>
      </c>
      <c r="F5" s="58" t="s">
        <v>868</v>
      </c>
      <c r="G5" s="58" t="s">
        <v>869</v>
      </c>
      <c r="H5" s="58" t="s">
        <v>870</v>
      </c>
      <c r="I5" s="58" t="s">
        <v>871</v>
      </c>
      <c r="J5" s="58" t="s">
        <v>872</v>
      </c>
      <c r="K5" s="58" t="s">
        <v>873</v>
      </c>
      <c r="L5" s="58" t="s">
        <v>874</v>
      </c>
      <c r="M5" s="58" t="s">
        <v>875</v>
      </c>
      <c r="N5" s="58" t="s">
        <v>876</v>
      </c>
      <c r="O5" s="58" t="s">
        <v>877</v>
      </c>
      <c r="P5" s="58" t="s">
        <v>878</v>
      </c>
      <c r="Q5" s="58" t="s">
        <v>879</v>
      </c>
      <c r="R5" s="58" t="s">
        <v>880</v>
      </c>
      <c r="S5" s="58" t="s">
        <v>881</v>
      </c>
      <c r="T5" s="58" t="s">
        <v>882</v>
      </c>
      <c r="U5" s="58" t="s">
        <v>883</v>
      </c>
      <c r="V5" s="58" t="s">
        <v>884</v>
      </c>
      <c r="W5" s="58" t="s">
        <v>885</v>
      </c>
      <c r="X5" s="58" t="s">
        <v>886</v>
      </c>
      <c r="Y5" s="58" t="s">
        <v>887</v>
      </c>
      <c r="Z5" s="58" t="s">
        <v>888</v>
      </c>
    </row>
    <row r="6" spans="1:26" ht="12.75" customHeight="1" x14ac:dyDescent="0.2">
      <c r="A6" s="58" t="s">
        <v>889</v>
      </c>
      <c r="B6" s="70"/>
      <c r="C6" s="58" t="s">
        <v>890</v>
      </c>
      <c r="D6" s="58" t="s">
        <v>891</v>
      </c>
      <c r="E6" s="58" t="s">
        <v>892</v>
      </c>
      <c r="F6" s="58" t="s">
        <v>893</v>
      </c>
      <c r="G6" s="58" t="s">
        <v>894</v>
      </c>
      <c r="H6" s="58" t="s">
        <v>895</v>
      </c>
      <c r="I6" s="58" t="s">
        <v>896</v>
      </c>
      <c r="J6" s="58" t="s">
        <v>897</v>
      </c>
      <c r="K6" s="58" t="s">
        <v>898</v>
      </c>
      <c r="L6" s="58" t="s">
        <v>899</v>
      </c>
      <c r="M6" s="58" t="s">
        <v>900</v>
      </c>
      <c r="N6" s="58" t="s">
        <v>901</v>
      </c>
      <c r="O6" s="58" t="s">
        <v>902</v>
      </c>
      <c r="P6" s="58" t="s">
        <v>903</v>
      </c>
      <c r="Q6" s="58" t="s">
        <v>904</v>
      </c>
      <c r="R6" s="58" t="s">
        <v>905</v>
      </c>
      <c r="S6" s="58" t="s">
        <v>906</v>
      </c>
      <c r="T6" s="58" t="s">
        <v>907</v>
      </c>
      <c r="U6" s="58" t="s">
        <v>908</v>
      </c>
      <c r="V6" s="58" t="s">
        <v>909</v>
      </c>
      <c r="W6" s="58" t="s">
        <v>910</v>
      </c>
      <c r="X6" s="58" t="s">
        <v>911</v>
      </c>
      <c r="Y6" s="58" t="s">
        <v>912</v>
      </c>
      <c r="Z6" s="70"/>
    </row>
    <row r="7" spans="1:26" ht="12.75" customHeight="1" x14ac:dyDescent="0.2">
      <c r="H7" s="76"/>
      <c r="I7" s="76"/>
      <c r="J7" s="76"/>
    </row>
    <row r="8" spans="1:26" x14ac:dyDescent="0.2">
      <c r="H8" s="76"/>
      <c r="I8" s="76"/>
      <c r="J8" s="76"/>
    </row>
    <row r="9" spans="1:26" x14ac:dyDescent="0.2">
      <c r="A9" s="75" t="s">
        <v>913</v>
      </c>
      <c r="B9" s="303" t="s">
        <v>914</v>
      </c>
      <c r="C9" s="304"/>
      <c r="D9" s="304"/>
      <c r="E9" s="304"/>
      <c r="F9" s="304"/>
      <c r="G9" s="304"/>
      <c r="H9" s="304"/>
      <c r="I9" s="304"/>
      <c r="J9" s="304"/>
      <c r="K9" s="305"/>
    </row>
    <row r="10" spans="1:26" x14ac:dyDescent="0.2">
      <c r="A10" s="74"/>
      <c r="B10" s="306"/>
      <c r="C10" s="307"/>
      <c r="D10" s="307"/>
      <c r="E10" s="307"/>
      <c r="F10" s="307"/>
      <c r="G10" s="307"/>
      <c r="H10" s="307"/>
      <c r="I10" s="307"/>
      <c r="J10" s="307"/>
      <c r="K10" s="308"/>
      <c r="L10" s="56" t="s">
        <v>915</v>
      </c>
      <c r="M10" s="56" t="s">
        <v>796</v>
      </c>
      <c r="N10" s="56" t="s">
        <v>916</v>
      </c>
      <c r="O10" s="56" t="s">
        <v>917</v>
      </c>
      <c r="P10" s="56" t="s">
        <v>839</v>
      </c>
      <c r="Q10" s="56" t="s">
        <v>864</v>
      </c>
      <c r="R10" s="56" t="s">
        <v>291</v>
      </c>
      <c r="S10" s="56" t="s">
        <v>292</v>
      </c>
      <c r="T10" s="56" t="s">
        <v>99</v>
      </c>
      <c r="U10" s="56" t="s">
        <v>918</v>
      </c>
    </row>
    <row r="11" spans="1:26" x14ac:dyDescent="0.2">
      <c r="A11" s="73" t="s">
        <v>919</v>
      </c>
      <c r="B11" s="72">
        <v>1</v>
      </c>
      <c r="C11" s="72">
        <v>2</v>
      </c>
      <c r="D11" s="72">
        <v>3</v>
      </c>
      <c r="E11" s="72">
        <v>4</v>
      </c>
      <c r="F11" s="72">
        <v>5</v>
      </c>
      <c r="G11" s="72">
        <v>6</v>
      </c>
      <c r="H11" s="72">
        <v>7</v>
      </c>
      <c r="I11" s="72">
        <v>8</v>
      </c>
      <c r="J11" s="72">
        <v>9</v>
      </c>
      <c r="K11" s="72">
        <v>0</v>
      </c>
      <c r="L11" s="56" t="str">
        <f t="shared" ref="L11:L40" si="0">CONCATENATE(B11,C11,D11,E11,F11,G11,H11,I11,J11,K11)</f>
        <v>1234567890</v>
      </c>
    </row>
    <row r="12" spans="1:26" x14ac:dyDescent="0.2">
      <c r="A12" s="69" t="s">
        <v>920</v>
      </c>
      <c r="B12" s="58">
        <v>6</v>
      </c>
      <c r="C12" s="58">
        <v>5</v>
      </c>
      <c r="D12" s="58">
        <v>4</v>
      </c>
      <c r="E12" s="58">
        <v>3</v>
      </c>
      <c r="F12" s="58">
        <v>2</v>
      </c>
      <c r="G12" s="58">
        <v>2</v>
      </c>
      <c r="H12" s="58">
        <v>2</v>
      </c>
      <c r="I12" s="58">
        <v>3</v>
      </c>
      <c r="J12" s="58">
        <v>4</v>
      </c>
      <c r="K12" s="58">
        <v>5</v>
      </c>
      <c r="L12" s="56" t="str">
        <f t="shared" si="0"/>
        <v>6543222345</v>
      </c>
      <c r="M12" s="67">
        <v>70</v>
      </c>
      <c r="N12" s="71">
        <v>180</v>
      </c>
      <c r="O12" s="70">
        <v>145</v>
      </c>
      <c r="P12" s="70">
        <v>270</v>
      </c>
      <c r="Q12" s="70">
        <v>145</v>
      </c>
      <c r="R12" s="70">
        <v>145</v>
      </c>
      <c r="S12" s="70">
        <v>145</v>
      </c>
      <c r="T12" s="70">
        <f>SUM(M12:S12)</f>
        <v>1100</v>
      </c>
      <c r="U12" s="70"/>
    </row>
    <row r="13" spans="1:26" x14ac:dyDescent="0.2">
      <c r="A13" s="69" t="s">
        <v>921</v>
      </c>
      <c r="B13" s="58">
        <v>6</v>
      </c>
      <c r="C13" s="58">
        <v>5</v>
      </c>
      <c r="D13" s="58">
        <v>4</v>
      </c>
      <c r="E13" s="58">
        <v>3</v>
      </c>
      <c r="F13" s="58">
        <v>2</v>
      </c>
      <c r="G13" s="58">
        <v>2</v>
      </c>
      <c r="H13" s="58">
        <v>2</v>
      </c>
      <c r="I13" s="58">
        <v>3</v>
      </c>
      <c r="J13" s="58">
        <v>4</v>
      </c>
      <c r="K13" s="58">
        <v>5</v>
      </c>
      <c r="L13" s="56" t="str">
        <f t="shared" si="0"/>
        <v>6543222345</v>
      </c>
      <c r="M13" s="68">
        <v>70</v>
      </c>
      <c r="N13" s="68">
        <v>180</v>
      </c>
      <c r="O13" s="68">
        <v>145</v>
      </c>
      <c r="P13" s="68">
        <v>270</v>
      </c>
      <c r="Q13" s="68">
        <v>145</v>
      </c>
      <c r="R13" s="68">
        <v>145</v>
      </c>
      <c r="S13" s="68">
        <v>145</v>
      </c>
      <c r="T13" s="70">
        <f t="shared" ref="T13:T25" si="1">SUM(M13:S13)</f>
        <v>1100</v>
      </c>
      <c r="U13" s="68">
        <v>1100</v>
      </c>
    </row>
    <row r="14" spans="1:26" x14ac:dyDescent="0.2">
      <c r="A14" s="58" t="s">
        <v>922</v>
      </c>
      <c r="B14" s="58">
        <v>5</v>
      </c>
      <c r="C14" s="58">
        <v>4</v>
      </c>
      <c r="D14" s="58">
        <v>3</v>
      </c>
      <c r="E14" s="58">
        <v>2</v>
      </c>
      <c r="F14" s="58">
        <v>2</v>
      </c>
      <c r="G14" s="58">
        <v>2</v>
      </c>
      <c r="H14" s="58">
        <v>2</v>
      </c>
      <c r="I14" s="58">
        <v>3</v>
      </c>
      <c r="J14" s="58">
        <v>4</v>
      </c>
      <c r="K14" s="58">
        <v>5</v>
      </c>
      <c r="L14" s="56" t="str">
        <f t="shared" si="0"/>
        <v>5432222345</v>
      </c>
      <c r="M14" s="67" t="s">
        <v>923</v>
      </c>
      <c r="N14" s="67" t="s">
        <v>923</v>
      </c>
      <c r="O14" s="67" t="s">
        <v>923</v>
      </c>
      <c r="P14" s="64">
        <v>100</v>
      </c>
      <c r="Q14" s="67" t="s">
        <v>923</v>
      </c>
      <c r="R14" s="67" t="s">
        <v>923</v>
      </c>
      <c r="S14" s="67" t="s">
        <v>923</v>
      </c>
      <c r="T14" s="70">
        <f t="shared" si="1"/>
        <v>100</v>
      </c>
      <c r="U14" s="64"/>
    </row>
    <row r="15" spans="1:26" x14ac:dyDescent="0.2">
      <c r="A15" s="58" t="s">
        <v>924</v>
      </c>
      <c r="B15" s="58">
        <f t="shared" ref="B15:K15" si="2">IF(B14&gt;2, B14-1,B14)</f>
        <v>4</v>
      </c>
      <c r="C15" s="58">
        <f t="shared" si="2"/>
        <v>3</v>
      </c>
      <c r="D15" s="58">
        <f t="shared" si="2"/>
        <v>2</v>
      </c>
      <c r="E15" s="58">
        <f t="shared" si="2"/>
        <v>2</v>
      </c>
      <c r="F15" s="58">
        <f t="shared" si="2"/>
        <v>2</v>
      </c>
      <c r="G15" s="58">
        <f t="shared" si="2"/>
        <v>2</v>
      </c>
      <c r="H15" s="58">
        <f t="shared" si="2"/>
        <v>2</v>
      </c>
      <c r="I15" s="58">
        <f t="shared" si="2"/>
        <v>2</v>
      </c>
      <c r="J15" s="58">
        <f t="shared" si="2"/>
        <v>3</v>
      </c>
      <c r="K15" s="58">
        <f t="shared" si="2"/>
        <v>4</v>
      </c>
      <c r="L15" s="56" t="str">
        <f t="shared" si="0"/>
        <v>4322222234</v>
      </c>
      <c r="M15" s="67" t="s">
        <v>923</v>
      </c>
      <c r="N15" s="67" t="s">
        <v>923</v>
      </c>
      <c r="O15" s="67" t="s">
        <v>923</v>
      </c>
      <c r="P15" s="66">
        <f>P14*1.1</f>
        <v>110.00000000000001</v>
      </c>
      <c r="Q15" s="67" t="s">
        <v>923</v>
      </c>
      <c r="R15" s="67" t="s">
        <v>923</v>
      </c>
      <c r="S15" s="67" t="s">
        <v>923</v>
      </c>
      <c r="T15" s="70">
        <f t="shared" si="1"/>
        <v>110.00000000000001</v>
      </c>
      <c r="U15" s="64"/>
    </row>
    <row r="16" spans="1:26" x14ac:dyDescent="0.2">
      <c r="A16" s="58" t="s">
        <v>925</v>
      </c>
      <c r="B16" s="58">
        <v>6</v>
      </c>
      <c r="C16" s="58">
        <v>5</v>
      </c>
      <c r="D16" s="58">
        <v>4</v>
      </c>
      <c r="E16" s="58">
        <v>3</v>
      </c>
      <c r="F16" s="58">
        <v>2</v>
      </c>
      <c r="G16" s="58">
        <v>2</v>
      </c>
      <c r="H16" s="58">
        <v>3</v>
      </c>
      <c r="I16" s="58">
        <v>4</v>
      </c>
      <c r="J16" s="58">
        <v>5</v>
      </c>
      <c r="K16" s="58">
        <v>6</v>
      </c>
      <c r="L16" s="56" t="str">
        <f t="shared" si="0"/>
        <v>6543223456</v>
      </c>
      <c r="M16" s="92">
        <v>95</v>
      </c>
      <c r="N16" s="92">
        <v>180</v>
      </c>
      <c r="O16" s="92">
        <v>180</v>
      </c>
      <c r="P16" s="66">
        <v>270</v>
      </c>
      <c r="Q16" s="92">
        <v>145</v>
      </c>
      <c r="R16" s="64">
        <v>145</v>
      </c>
      <c r="S16" s="64">
        <v>145</v>
      </c>
      <c r="T16" s="70">
        <f t="shared" si="1"/>
        <v>1160</v>
      </c>
      <c r="U16" s="64"/>
    </row>
    <row r="17" spans="1:21" x14ac:dyDescent="0.2">
      <c r="A17" s="58" t="s">
        <v>926</v>
      </c>
      <c r="B17" s="58">
        <v>6</v>
      </c>
      <c r="C17" s="58">
        <v>5</v>
      </c>
      <c r="D17" s="58">
        <v>4</v>
      </c>
      <c r="E17" s="58">
        <v>3</v>
      </c>
      <c r="F17" s="58">
        <v>2</v>
      </c>
      <c r="G17" s="58">
        <v>2</v>
      </c>
      <c r="H17" s="58">
        <v>3</v>
      </c>
      <c r="I17" s="58">
        <v>4</v>
      </c>
      <c r="J17" s="58">
        <v>5</v>
      </c>
      <c r="K17" s="58">
        <v>6</v>
      </c>
      <c r="L17" s="56" t="str">
        <f t="shared" si="0"/>
        <v>6543223456</v>
      </c>
      <c r="M17" s="92">
        <v>95</v>
      </c>
      <c r="N17" s="92">
        <v>145</v>
      </c>
      <c r="O17" s="92">
        <v>145</v>
      </c>
      <c r="P17" s="66">
        <v>270</v>
      </c>
      <c r="Q17" s="92">
        <v>145</v>
      </c>
      <c r="R17" s="64">
        <v>145</v>
      </c>
      <c r="S17" s="64">
        <v>145</v>
      </c>
      <c r="T17" s="70">
        <f t="shared" si="1"/>
        <v>1090</v>
      </c>
      <c r="U17" s="64"/>
    </row>
    <row r="18" spans="1:21" x14ac:dyDescent="0.2">
      <c r="A18" s="58" t="s">
        <v>290</v>
      </c>
      <c r="B18" s="58">
        <v>5</v>
      </c>
      <c r="C18" s="58">
        <v>4</v>
      </c>
      <c r="D18" s="58">
        <v>3</v>
      </c>
      <c r="E18" s="58">
        <v>2</v>
      </c>
      <c r="F18" s="58">
        <v>2</v>
      </c>
      <c r="G18" s="58">
        <v>2</v>
      </c>
      <c r="H18" s="58">
        <v>2</v>
      </c>
      <c r="I18" s="58">
        <v>3</v>
      </c>
      <c r="J18" s="58">
        <v>4</v>
      </c>
      <c r="K18" s="58">
        <v>5</v>
      </c>
      <c r="L18" s="56" t="str">
        <f t="shared" si="0"/>
        <v>5432222345</v>
      </c>
      <c r="M18" s="64">
        <v>70</v>
      </c>
      <c r="N18" s="64">
        <v>145</v>
      </c>
      <c r="O18" s="64">
        <v>145</v>
      </c>
      <c r="P18" s="64">
        <v>215</v>
      </c>
      <c r="Q18" s="64">
        <v>145</v>
      </c>
      <c r="R18" s="64">
        <v>145</v>
      </c>
      <c r="S18" s="64">
        <v>145</v>
      </c>
      <c r="T18" s="70">
        <f t="shared" si="1"/>
        <v>1010</v>
      </c>
      <c r="U18" s="64">
        <v>1010</v>
      </c>
    </row>
    <row r="19" spans="1:21" x14ac:dyDescent="0.2">
      <c r="A19" s="58" t="s">
        <v>927</v>
      </c>
      <c r="B19" s="58">
        <f t="shared" ref="B19:K19" si="3">IF(B18&gt;2, B18-1,B18)</f>
        <v>4</v>
      </c>
      <c r="C19" s="58">
        <f t="shared" si="3"/>
        <v>3</v>
      </c>
      <c r="D19" s="58">
        <f t="shared" si="3"/>
        <v>2</v>
      </c>
      <c r="E19" s="58">
        <f t="shared" si="3"/>
        <v>2</v>
      </c>
      <c r="F19" s="58">
        <f t="shared" si="3"/>
        <v>2</v>
      </c>
      <c r="G19" s="58">
        <f t="shared" si="3"/>
        <v>2</v>
      </c>
      <c r="H19" s="58">
        <f t="shared" si="3"/>
        <v>2</v>
      </c>
      <c r="I19" s="58">
        <f t="shared" si="3"/>
        <v>2</v>
      </c>
      <c r="J19" s="58">
        <f t="shared" si="3"/>
        <v>3</v>
      </c>
      <c r="K19" s="58">
        <f t="shared" si="3"/>
        <v>4</v>
      </c>
      <c r="L19" s="56" t="str">
        <f t="shared" si="0"/>
        <v>4322222234</v>
      </c>
      <c r="M19" s="66">
        <f t="shared" ref="M19:U19" si="4">M18*1.1</f>
        <v>77</v>
      </c>
      <c r="N19" s="66">
        <f t="shared" si="4"/>
        <v>159.5</v>
      </c>
      <c r="O19" s="66">
        <f t="shared" si="4"/>
        <v>159.5</v>
      </c>
      <c r="P19" s="66">
        <f t="shared" si="4"/>
        <v>236.50000000000003</v>
      </c>
      <c r="Q19" s="66">
        <f t="shared" si="4"/>
        <v>159.5</v>
      </c>
      <c r="R19" s="66">
        <f t="shared" si="4"/>
        <v>159.5</v>
      </c>
      <c r="S19" s="66">
        <f t="shared" si="4"/>
        <v>159.5</v>
      </c>
      <c r="T19" s="70">
        <f t="shared" si="1"/>
        <v>1111</v>
      </c>
      <c r="U19" s="66">
        <f t="shared" si="4"/>
        <v>1111</v>
      </c>
    </row>
    <row r="20" spans="1:21" x14ac:dyDescent="0.2">
      <c r="A20" s="65" t="s">
        <v>928</v>
      </c>
      <c r="B20" s="58">
        <v>4</v>
      </c>
      <c r="C20" s="58">
        <v>3</v>
      </c>
      <c r="D20" s="58">
        <v>3</v>
      </c>
      <c r="E20" s="58">
        <v>2</v>
      </c>
      <c r="F20" s="58">
        <v>1</v>
      </c>
      <c r="G20" s="58">
        <v>1</v>
      </c>
      <c r="H20" s="58">
        <v>2</v>
      </c>
      <c r="I20" s="58">
        <v>3</v>
      </c>
      <c r="J20" s="58">
        <v>3</v>
      </c>
      <c r="K20" s="58">
        <v>4</v>
      </c>
      <c r="L20" s="56" t="str">
        <f t="shared" si="0"/>
        <v>4332112334</v>
      </c>
      <c r="M20" s="64">
        <v>50</v>
      </c>
      <c r="N20" s="64">
        <v>100</v>
      </c>
      <c r="O20" s="64">
        <v>100</v>
      </c>
      <c r="P20" s="64">
        <v>150</v>
      </c>
      <c r="Q20" s="64">
        <v>100</v>
      </c>
      <c r="R20" s="64">
        <v>100</v>
      </c>
      <c r="S20" s="64">
        <v>100</v>
      </c>
      <c r="T20" s="70">
        <f t="shared" si="1"/>
        <v>700</v>
      </c>
      <c r="U20" s="64">
        <v>700</v>
      </c>
    </row>
    <row r="21" spans="1:21" x14ac:dyDescent="0.2">
      <c r="A21" s="65" t="s">
        <v>929</v>
      </c>
      <c r="B21" s="58">
        <v>3</v>
      </c>
      <c r="C21" s="58">
        <v>3</v>
      </c>
      <c r="D21" s="58">
        <v>2</v>
      </c>
      <c r="E21" s="58">
        <v>2</v>
      </c>
      <c r="F21" s="58">
        <v>1</v>
      </c>
      <c r="G21" s="58">
        <v>1</v>
      </c>
      <c r="H21" s="58">
        <v>2</v>
      </c>
      <c r="I21" s="58">
        <v>2</v>
      </c>
      <c r="J21" s="58">
        <v>3</v>
      </c>
      <c r="K21" s="58">
        <v>3</v>
      </c>
      <c r="L21" s="56" t="str">
        <f t="shared" si="0"/>
        <v>3322112233</v>
      </c>
      <c r="M21" s="64">
        <v>45</v>
      </c>
      <c r="N21" s="64">
        <v>85</v>
      </c>
      <c r="O21" s="64">
        <v>85</v>
      </c>
      <c r="P21" s="64">
        <v>130</v>
      </c>
      <c r="Q21" s="64">
        <v>85</v>
      </c>
      <c r="R21" s="64">
        <v>85</v>
      </c>
      <c r="S21" s="64">
        <v>85</v>
      </c>
      <c r="T21" s="70">
        <f t="shared" si="1"/>
        <v>600</v>
      </c>
      <c r="U21" s="64">
        <v>600</v>
      </c>
    </row>
    <row r="22" spans="1:21" x14ac:dyDescent="0.2">
      <c r="A22" s="65" t="s">
        <v>930</v>
      </c>
      <c r="B22" s="58">
        <v>3</v>
      </c>
      <c r="C22" s="58">
        <v>2</v>
      </c>
      <c r="D22" s="58">
        <v>2</v>
      </c>
      <c r="E22" s="58">
        <v>1</v>
      </c>
      <c r="F22" s="58">
        <v>1</v>
      </c>
      <c r="G22" s="58">
        <v>1</v>
      </c>
      <c r="H22" s="58">
        <v>1</v>
      </c>
      <c r="I22" s="58">
        <v>2</v>
      </c>
      <c r="J22" s="58">
        <v>2</v>
      </c>
      <c r="K22" s="58">
        <v>3</v>
      </c>
      <c r="L22" s="56" t="str">
        <f t="shared" si="0"/>
        <v>3221111223</v>
      </c>
      <c r="M22" s="64">
        <v>30</v>
      </c>
      <c r="N22" s="64">
        <v>55</v>
      </c>
      <c r="O22" s="64">
        <v>55</v>
      </c>
      <c r="P22" s="64">
        <v>85</v>
      </c>
      <c r="Q22" s="64">
        <v>55</v>
      </c>
      <c r="R22" s="64">
        <v>55</v>
      </c>
      <c r="S22" s="64">
        <v>55</v>
      </c>
      <c r="T22" s="70">
        <f t="shared" si="1"/>
        <v>390</v>
      </c>
      <c r="U22" s="64">
        <v>390</v>
      </c>
    </row>
    <row r="23" spans="1:21" x14ac:dyDescent="0.2">
      <c r="A23" s="65" t="s">
        <v>288</v>
      </c>
      <c r="B23" s="58">
        <v>2</v>
      </c>
      <c r="C23" s="58">
        <v>2</v>
      </c>
      <c r="D23" s="58">
        <v>1</v>
      </c>
      <c r="E23" s="58">
        <v>1</v>
      </c>
      <c r="F23" s="58">
        <v>1</v>
      </c>
      <c r="G23" s="58">
        <v>1</v>
      </c>
      <c r="H23" s="58">
        <v>1</v>
      </c>
      <c r="I23" s="58">
        <v>1</v>
      </c>
      <c r="J23" s="58">
        <v>2</v>
      </c>
      <c r="K23" s="58">
        <v>2</v>
      </c>
      <c r="L23" s="56" t="str">
        <f t="shared" si="0"/>
        <v>2211111122</v>
      </c>
      <c r="M23" s="64">
        <v>20</v>
      </c>
      <c r="N23" s="64">
        <v>35</v>
      </c>
      <c r="O23" s="64">
        <v>35</v>
      </c>
      <c r="P23" s="64">
        <v>55</v>
      </c>
      <c r="Q23" s="64">
        <v>35</v>
      </c>
      <c r="R23" s="64">
        <v>35</v>
      </c>
      <c r="S23" s="64">
        <v>35</v>
      </c>
      <c r="T23" s="70">
        <f t="shared" si="1"/>
        <v>250</v>
      </c>
      <c r="U23" s="64">
        <v>250</v>
      </c>
    </row>
    <row r="24" spans="1:21" x14ac:dyDescent="0.2">
      <c r="A24" s="65" t="s">
        <v>931</v>
      </c>
      <c r="B24" s="58">
        <v>1</v>
      </c>
      <c r="C24" s="58">
        <v>1</v>
      </c>
      <c r="D24" s="58">
        <v>1</v>
      </c>
      <c r="E24" s="58">
        <v>1</v>
      </c>
      <c r="F24" s="58">
        <v>0</v>
      </c>
      <c r="G24" s="58">
        <v>0</v>
      </c>
      <c r="H24" s="58">
        <v>1</v>
      </c>
      <c r="I24" s="58">
        <v>1</v>
      </c>
      <c r="J24" s="58">
        <v>1</v>
      </c>
      <c r="K24" s="58">
        <v>1</v>
      </c>
      <c r="L24" s="56" t="str">
        <f t="shared" si="0"/>
        <v>1111001111</v>
      </c>
      <c r="M24" s="64">
        <v>10</v>
      </c>
      <c r="N24" s="64">
        <v>20</v>
      </c>
      <c r="O24" s="64">
        <v>20</v>
      </c>
      <c r="P24" s="64">
        <v>30</v>
      </c>
      <c r="Q24" s="64">
        <v>20</v>
      </c>
      <c r="R24" s="64">
        <v>20</v>
      </c>
      <c r="S24" s="64">
        <v>20</v>
      </c>
      <c r="T24" s="70">
        <f t="shared" si="1"/>
        <v>140</v>
      </c>
      <c r="U24" s="64">
        <v>140</v>
      </c>
    </row>
    <row r="25" spans="1:21" x14ac:dyDescent="0.2">
      <c r="A25" s="65" t="s">
        <v>932</v>
      </c>
      <c r="B25" s="58">
        <v>0</v>
      </c>
      <c r="C25" s="58">
        <v>0</v>
      </c>
      <c r="D25" s="58">
        <v>0</v>
      </c>
      <c r="E25" s="58">
        <v>0</v>
      </c>
      <c r="F25" s="58">
        <v>0</v>
      </c>
      <c r="G25" s="58">
        <v>0</v>
      </c>
      <c r="H25" s="58">
        <v>0</v>
      </c>
      <c r="I25" s="58">
        <v>0</v>
      </c>
      <c r="J25" s="58">
        <v>0</v>
      </c>
      <c r="K25" s="58">
        <v>0</v>
      </c>
      <c r="L25" s="56" t="str">
        <f t="shared" si="0"/>
        <v>0000000000</v>
      </c>
      <c r="M25" s="64">
        <v>0</v>
      </c>
      <c r="N25" s="64">
        <v>0</v>
      </c>
      <c r="O25" s="64">
        <v>0</v>
      </c>
      <c r="P25" s="64">
        <v>0</v>
      </c>
      <c r="Q25" s="64">
        <v>0</v>
      </c>
      <c r="R25" s="64">
        <v>0</v>
      </c>
      <c r="S25" s="64">
        <v>0</v>
      </c>
      <c r="T25" s="70">
        <f t="shared" si="1"/>
        <v>0</v>
      </c>
      <c r="U25" s="64">
        <v>0</v>
      </c>
    </row>
    <row r="26" spans="1:21" x14ac:dyDescent="0.2">
      <c r="A26" s="61" t="s">
        <v>933</v>
      </c>
      <c r="B26" s="58">
        <v>5</v>
      </c>
      <c r="C26" s="58">
        <v>4</v>
      </c>
      <c r="D26" s="58">
        <v>3</v>
      </c>
      <c r="E26" s="58">
        <v>2</v>
      </c>
      <c r="F26" s="58">
        <v>0</v>
      </c>
      <c r="G26" s="58">
        <v>2</v>
      </c>
      <c r="H26" s="58">
        <v>2</v>
      </c>
      <c r="I26" s="58">
        <v>3</v>
      </c>
      <c r="J26" s="58">
        <v>4</v>
      </c>
      <c r="K26" s="58">
        <v>5</v>
      </c>
      <c r="L26" s="56" t="str">
        <f t="shared" si="0"/>
        <v>5432022345</v>
      </c>
      <c r="M26" s="62">
        <v>70</v>
      </c>
    </row>
    <row r="27" spans="1:21" x14ac:dyDescent="0.2">
      <c r="A27" s="61" t="s">
        <v>286</v>
      </c>
      <c r="B27" s="58">
        <v>5</v>
      </c>
      <c r="C27" s="58">
        <v>4</v>
      </c>
      <c r="D27" s="58">
        <v>3</v>
      </c>
      <c r="E27" s="58">
        <v>2</v>
      </c>
      <c r="F27" s="58">
        <v>2</v>
      </c>
      <c r="G27" s="58">
        <v>2</v>
      </c>
      <c r="H27" s="58">
        <v>2</v>
      </c>
      <c r="I27" s="58">
        <v>3</v>
      </c>
      <c r="J27" s="58">
        <v>4</v>
      </c>
      <c r="K27" s="58">
        <v>5</v>
      </c>
      <c r="L27" s="56" t="str">
        <f t="shared" si="0"/>
        <v>5432222345</v>
      </c>
      <c r="M27" s="63">
        <v>75</v>
      </c>
    </row>
    <row r="28" spans="1:21" x14ac:dyDescent="0.2">
      <c r="A28" s="61" t="s">
        <v>934</v>
      </c>
      <c r="B28" s="58">
        <v>5</v>
      </c>
      <c r="C28" s="58">
        <v>4</v>
      </c>
      <c r="D28" s="58">
        <v>3</v>
      </c>
      <c r="E28" s="58">
        <v>2</v>
      </c>
      <c r="F28" s="58">
        <v>0</v>
      </c>
      <c r="G28" s="58">
        <v>0</v>
      </c>
      <c r="H28" s="58">
        <v>2</v>
      </c>
      <c r="I28" s="58">
        <v>3</v>
      </c>
      <c r="J28" s="58">
        <v>4</v>
      </c>
      <c r="K28" s="58">
        <v>5</v>
      </c>
      <c r="L28" s="56" t="str">
        <f t="shared" si="0"/>
        <v>5432002345</v>
      </c>
      <c r="M28" s="63">
        <v>75</v>
      </c>
    </row>
    <row r="29" spans="1:21" x14ac:dyDescent="0.2">
      <c r="A29" s="61" t="s">
        <v>935</v>
      </c>
      <c r="B29" s="58">
        <v>5</v>
      </c>
      <c r="C29" s="58">
        <v>4</v>
      </c>
      <c r="D29" s="58">
        <v>3</v>
      </c>
      <c r="E29" s="58">
        <v>0</v>
      </c>
      <c r="F29" s="58">
        <v>2</v>
      </c>
      <c r="G29" s="58">
        <v>2</v>
      </c>
      <c r="H29" s="58">
        <v>0</v>
      </c>
      <c r="I29" s="58">
        <v>3</v>
      </c>
      <c r="J29" s="58">
        <v>4</v>
      </c>
      <c r="K29" s="58">
        <v>5</v>
      </c>
      <c r="L29" s="56" t="str">
        <f t="shared" si="0"/>
        <v>5430220345</v>
      </c>
      <c r="M29" s="62">
        <v>60</v>
      </c>
    </row>
    <row r="30" spans="1:21" x14ac:dyDescent="0.2">
      <c r="A30" s="59" t="s">
        <v>936</v>
      </c>
      <c r="B30" s="58">
        <v>5</v>
      </c>
      <c r="C30" s="58">
        <v>4</v>
      </c>
      <c r="D30" s="58">
        <v>3</v>
      </c>
      <c r="E30" s="58">
        <v>0</v>
      </c>
      <c r="F30" s="58">
        <v>0</v>
      </c>
      <c r="G30" s="58">
        <v>0</v>
      </c>
      <c r="H30" s="58">
        <v>0</v>
      </c>
      <c r="I30" s="58">
        <v>3</v>
      </c>
      <c r="J30" s="58">
        <v>4</v>
      </c>
      <c r="K30" s="58">
        <v>5</v>
      </c>
      <c r="L30" s="56" t="str">
        <f t="shared" si="0"/>
        <v>5430000345</v>
      </c>
      <c r="M30" s="57">
        <v>47</v>
      </c>
    </row>
    <row r="31" spans="1:21" x14ac:dyDescent="0.2">
      <c r="A31" s="59" t="s">
        <v>937</v>
      </c>
      <c r="B31" s="58">
        <v>5</v>
      </c>
      <c r="C31" s="58">
        <v>4</v>
      </c>
      <c r="D31" s="58">
        <v>3</v>
      </c>
      <c r="E31" s="58">
        <v>0</v>
      </c>
      <c r="F31" s="58">
        <v>0</v>
      </c>
      <c r="G31" s="58">
        <v>0</v>
      </c>
      <c r="H31" s="58">
        <v>0</v>
      </c>
      <c r="I31" s="58">
        <v>0</v>
      </c>
      <c r="J31" s="58">
        <v>0</v>
      </c>
      <c r="K31" s="58">
        <v>0</v>
      </c>
      <c r="L31" s="56" t="str">
        <f t="shared" si="0"/>
        <v>5430000000</v>
      </c>
      <c r="M31" s="57">
        <v>21</v>
      </c>
    </row>
    <row r="32" spans="1:21" x14ac:dyDescent="0.2">
      <c r="A32" s="61" t="s">
        <v>938</v>
      </c>
      <c r="B32" s="58">
        <f t="shared" ref="B32:K32" si="5">IF(B26&gt;2, B26-1,B26)</f>
        <v>4</v>
      </c>
      <c r="C32" s="58">
        <f t="shared" si="5"/>
        <v>3</v>
      </c>
      <c r="D32" s="58">
        <f t="shared" si="5"/>
        <v>2</v>
      </c>
      <c r="E32" s="58">
        <f t="shared" si="5"/>
        <v>2</v>
      </c>
      <c r="F32" s="58">
        <f t="shared" si="5"/>
        <v>0</v>
      </c>
      <c r="G32" s="58">
        <f t="shared" si="5"/>
        <v>2</v>
      </c>
      <c r="H32" s="58">
        <f t="shared" si="5"/>
        <v>2</v>
      </c>
      <c r="I32" s="58">
        <f t="shared" si="5"/>
        <v>2</v>
      </c>
      <c r="J32" s="58">
        <f t="shared" si="5"/>
        <v>3</v>
      </c>
      <c r="K32" s="58">
        <f t="shared" si="5"/>
        <v>4</v>
      </c>
      <c r="L32" s="56" t="str">
        <f t="shared" si="0"/>
        <v>4322022234</v>
      </c>
      <c r="M32" s="60">
        <f t="shared" ref="M32:M37" si="6">M26*1.1</f>
        <v>77</v>
      </c>
    </row>
    <row r="33" spans="1:13" x14ac:dyDescent="0.2">
      <c r="A33" s="61" t="s">
        <v>939</v>
      </c>
      <c r="B33" s="58">
        <f t="shared" ref="B33:K33" si="7">IF(B27&gt;2, B27-1,B27)</f>
        <v>4</v>
      </c>
      <c r="C33" s="58">
        <f t="shared" si="7"/>
        <v>3</v>
      </c>
      <c r="D33" s="58">
        <f t="shared" si="7"/>
        <v>2</v>
      </c>
      <c r="E33" s="58">
        <f t="shared" si="7"/>
        <v>2</v>
      </c>
      <c r="F33" s="58">
        <f t="shared" si="7"/>
        <v>2</v>
      </c>
      <c r="G33" s="58">
        <f t="shared" si="7"/>
        <v>2</v>
      </c>
      <c r="H33" s="58">
        <f t="shared" si="7"/>
        <v>2</v>
      </c>
      <c r="I33" s="58">
        <f t="shared" si="7"/>
        <v>2</v>
      </c>
      <c r="J33" s="58">
        <f t="shared" si="7"/>
        <v>3</v>
      </c>
      <c r="K33" s="58">
        <f t="shared" si="7"/>
        <v>4</v>
      </c>
      <c r="L33" s="56" t="str">
        <f t="shared" si="0"/>
        <v>4322222234</v>
      </c>
      <c r="M33" s="60">
        <f t="shared" si="6"/>
        <v>82.5</v>
      </c>
    </row>
    <row r="34" spans="1:13" x14ac:dyDescent="0.2">
      <c r="A34" s="61" t="s">
        <v>940</v>
      </c>
      <c r="B34" s="58">
        <f t="shared" ref="B34:K34" si="8">IF(B28&gt;2, B28-1,B28)</f>
        <v>4</v>
      </c>
      <c r="C34" s="58">
        <f t="shared" si="8"/>
        <v>3</v>
      </c>
      <c r="D34" s="58">
        <f t="shared" si="8"/>
        <v>2</v>
      </c>
      <c r="E34" s="58">
        <f t="shared" si="8"/>
        <v>2</v>
      </c>
      <c r="F34" s="58">
        <f t="shared" si="8"/>
        <v>0</v>
      </c>
      <c r="G34" s="58">
        <f t="shared" si="8"/>
        <v>0</v>
      </c>
      <c r="H34" s="58">
        <f t="shared" si="8"/>
        <v>2</v>
      </c>
      <c r="I34" s="58">
        <f t="shared" si="8"/>
        <v>2</v>
      </c>
      <c r="J34" s="58">
        <f t="shared" si="8"/>
        <v>3</v>
      </c>
      <c r="K34" s="58">
        <f t="shared" si="8"/>
        <v>4</v>
      </c>
      <c r="L34" s="56" t="str">
        <f t="shared" si="0"/>
        <v>4322002234</v>
      </c>
      <c r="M34" s="60">
        <f t="shared" si="6"/>
        <v>82.5</v>
      </c>
    </row>
    <row r="35" spans="1:13" x14ac:dyDescent="0.2">
      <c r="A35" s="61" t="s">
        <v>941</v>
      </c>
      <c r="B35" s="58">
        <f t="shared" ref="B35:K35" si="9">IF(B29&gt;2, B29-1,B29)</f>
        <v>4</v>
      </c>
      <c r="C35" s="58">
        <f t="shared" si="9"/>
        <v>3</v>
      </c>
      <c r="D35" s="58">
        <f t="shared" si="9"/>
        <v>2</v>
      </c>
      <c r="E35" s="58">
        <f t="shared" si="9"/>
        <v>0</v>
      </c>
      <c r="F35" s="58">
        <f t="shared" si="9"/>
        <v>2</v>
      </c>
      <c r="G35" s="58">
        <f t="shared" si="9"/>
        <v>2</v>
      </c>
      <c r="H35" s="58">
        <f t="shared" si="9"/>
        <v>0</v>
      </c>
      <c r="I35" s="58">
        <f t="shared" si="9"/>
        <v>2</v>
      </c>
      <c r="J35" s="58">
        <f t="shared" si="9"/>
        <v>3</v>
      </c>
      <c r="K35" s="58">
        <f t="shared" si="9"/>
        <v>4</v>
      </c>
      <c r="L35" s="56" t="str">
        <f t="shared" si="0"/>
        <v>4320220234</v>
      </c>
      <c r="M35" s="60">
        <f t="shared" si="6"/>
        <v>66</v>
      </c>
    </row>
    <row r="36" spans="1:13" x14ac:dyDescent="0.2">
      <c r="A36" s="59" t="s">
        <v>942</v>
      </c>
      <c r="B36" s="58">
        <f t="shared" ref="B36:K36" si="10">IF(B30&gt;2, B30-1,B30)</f>
        <v>4</v>
      </c>
      <c r="C36" s="58">
        <f t="shared" si="10"/>
        <v>3</v>
      </c>
      <c r="D36" s="58">
        <f t="shared" si="10"/>
        <v>2</v>
      </c>
      <c r="E36" s="58">
        <f t="shared" si="10"/>
        <v>0</v>
      </c>
      <c r="F36" s="58">
        <f t="shared" si="10"/>
        <v>0</v>
      </c>
      <c r="G36" s="58">
        <f t="shared" si="10"/>
        <v>0</v>
      </c>
      <c r="H36" s="58">
        <f t="shared" si="10"/>
        <v>0</v>
      </c>
      <c r="I36" s="58">
        <f t="shared" si="10"/>
        <v>2</v>
      </c>
      <c r="J36" s="58">
        <f t="shared" si="10"/>
        <v>3</v>
      </c>
      <c r="K36" s="58">
        <f t="shared" si="10"/>
        <v>4</v>
      </c>
      <c r="L36" s="56" t="str">
        <f t="shared" si="0"/>
        <v>4320000234</v>
      </c>
      <c r="M36" s="60">
        <f t="shared" si="6"/>
        <v>51.7</v>
      </c>
    </row>
    <row r="37" spans="1:13" x14ac:dyDescent="0.2">
      <c r="A37" s="59" t="s">
        <v>943</v>
      </c>
      <c r="B37" s="58">
        <v>4</v>
      </c>
      <c r="C37" s="58">
        <v>3</v>
      </c>
      <c r="D37" s="58">
        <v>2</v>
      </c>
      <c r="E37" s="58">
        <v>0</v>
      </c>
      <c r="F37" s="58">
        <v>0</v>
      </c>
      <c r="G37" s="58">
        <v>0</v>
      </c>
      <c r="H37" s="58">
        <v>0</v>
      </c>
      <c r="I37" s="58">
        <v>0</v>
      </c>
      <c r="J37" s="58">
        <v>0</v>
      </c>
      <c r="K37" s="58">
        <v>0</v>
      </c>
      <c r="L37" s="56" t="str">
        <f t="shared" si="0"/>
        <v>4320000000</v>
      </c>
      <c r="M37" s="60">
        <f t="shared" si="6"/>
        <v>23.1</v>
      </c>
    </row>
    <row r="38" spans="1:13" x14ac:dyDescent="0.2">
      <c r="A38" s="59" t="s">
        <v>944</v>
      </c>
      <c r="B38" s="58">
        <v>4</v>
      </c>
      <c r="C38" s="58">
        <v>3</v>
      </c>
      <c r="D38" s="58">
        <v>3</v>
      </c>
      <c r="E38" s="58">
        <v>0</v>
      </c>
      <c r="F38" s="58">
        <v>0</v>
      </c>
      <c r="G38" s="58">
        <v>0</v>
      </c>
      <c r="H38" s="58">
        <v>0</v>
      </c>
      <c r="I38" s="58">
        <v>3</v>
      </c>
      <c r="J38" s="58">
        <v>4</v>
      </c>
      <c r="K38" s="58">
        <v>5</v>
      </c>
      <c r="L38" s="56" t="str">
        <f t="shared" si="0"/>
        <v>4330000345</v>
      </c>
      <c r="M38" s="57">
        <v>33</v>
      </c>
    </row>
    <row r="39" spans="1:13" x14ac:dyDescent="0.2">
      <c r="A39" s="59" t="s">
        <v>945</v>
      </c>
      <c r="B39" s="58">
        <v>3</v>
      </c>
      <c r="C39" s="58">
        <v>3</v>
      </c>
      <c r="D39" s="58">
        <v>2</v>
      </c>
      <c r="E39" s="58">
        <v>0</v>
      </c>
      <c r="F39" s="58">
        <v>0</v>
      </c>
      <c r="G39" s="58">
        <v>0</v>
      </c>
      <c r="H39" s="58">
        <v>0</v>
      </c>
      <c r="I39" s="58">
        <v>2</v>
      </c>
      <c r="J39" s="58">
        <v>3</v>
      </c>
      <c r="K39" s="58">
        <v>3</v>
      </c>
      <c r="L39" s="56" t="str">
        <f t="shared" si="0"/>
        <v>3320000233</v>
      </c>
      <c r="M39" s="57">
        <v>30</v>
      </c>
    </row>
    <row r="40" spans="1:13" x14ac:dyDescent="0.2">
      <c r="A40" s="59" t="s">
        <v>946</v>
      </c>
      <c r="B40" s="58">
        <v>2</v>
      </c>
      <c r="C40" s="58">
        <v>2</v>
      </c>
      <c r="D40" s="58">
        <v>1</v>
      </c>
      <c r="E40" s="58">
        <v>0</v>
      </c>
      <c r="F40" s="58">
        <v>0</v>
      </c>
      <c r="G40" s="58">
        <v>0</v>
      </c>
      <c r="H40" s="58">
        <v>0</v>
      </c>
      <c r="I40" s="58">
        <v>1</v>
      </c>
      <c r="J40" s="58">
        <v>2</v>
      </c>
      <c r="K40" s="58">
        <v>2</v>
      </c>
      <c r="L40" s="56" t="str">
        <f t="shared" si="0"/>
        <v>2210000122</v>
      </c>
      <c r="M40" s="57">
        <v>13</v>
      </c>
    </row>
  </sheetData>
  <sheetProtection algorithmName="SHA-512" hashValue="XCgDzhbY2EzGPdt9ooStGSdIIgxawsR14Vu8xIXmTuiNc5qyfrkH6dySlh2TWzMA7l6kBNcMXEbE9obM+Y5rAw==" saltValue="kxAYg5A0szy04grhIImOdw==" spinCount="100000" sheet="1" objects="1" scenarios="1"/>
  <mergeCells count="1">
    <mergeCell ref="B9:K10"/>
  </mergeCells>
  <printOptions gridLines="1" gridLinesSet="0"/>
  <pageMargins left="0.75" right="0.75" top="1" bottom="1" header="0.5" footer="0.5"/>
  <pageSetup paperSize="9" orientation="portrait" horizontalDpi="300" r:id="rId1"/>
  <headerFooter alignWithMargins="0">
    <oddHeader>&amp;A</oddHeader>
    <oddFooter>Page &amp;P</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2524A-9026-4517-971C-CA269B4637E0}">
  <sheetPr>
    <tabColor theme="1" tint="4.9989318521683403E-2"/>
  </sheetPr>
  <dimension ref="A1:BG34"/>
  <sheetViews>
    <sheetView zoomScaleNormal="100" workbookViewId="0">
      <pane xSplit="1" ySplit="3" topLeftCell="B4" activePane="bottomRight" state="frozen"/>
      <selection pane="topRight" activeCell="B1" sqref="B1"/>
      <selection pane="bottomLeft" activeCell="A4" sqref="A4"/>
      <selection pane="bottomRight" activeCell="AD26" sqref="AD26"/>
    </sheetView>
  </sheetViews>
  <sheetFormatPr defaultColWidth="9" defaultRowHeight="12.75" x14ac:dyDescent="0.2"/>
  <cols>
    <col min="1" max="1" width="20.125" style="78" customWidth="1"/>
    <col min="2" max="7" width="9" style="78"/>
    <col min="8" max="8" width="18" style="78" customWidth="1"/>
    <col min="9" max="35" width="9" style="78"/>
    <col min="36" max="37" width="9" style="80"/>
    <col min="38" max="39" width="9" style="79"/>
    <col min="40" max="53" width="9" style="80"/>
    <col min="54" max="54" width="9" style="79"/>
    <col min="55" max="16384" width="9" style="78"/>
  </cols>
  <sheetData>
    <row r="1" spans="1:58" s="205" customFormat="1" ht="19.5" x14ac:dyDescent="0.35">
      <c r="A1" s="204" t="s">
        <v>947</v>
      </c>
      <c r="AJ1" s="206"/>
      <c r="AK1" s="206"/>
      <c r="AL1" s="207"/>
      <c r="AM1" s="207"/>
      <c r="AN1" s="206"/>
      <c r="AO1" s="206"/>
      <c r="AP1" s="206"/>
      <c r="AQ1" s="206"/>
      <c r="AR1" s="206"/>
      <c r="AS1" s="206"/>
      <c r="AT1" s="206"/>
      <c r="AU1" s="206"/>
      <c r="AV1" s="206"/>
      <c r="AW1" s="206"/>
      <c r="AX1" s="206"/>
      <c r="AY1" s="206"/>
      <c r="AZ1" s="206"/>
      <c r="BA1" s="206"/>
      <c r="BB1" s="207"/>
    </row>
    <row r="2" spans="1:58" x14ac:dyDescent="0.2">
      <c r="B2" s="88" t="s">
        <v>948</v>
      </c>
      <c r="I2" s="88" t="s">
        <v>949</v>
      </c>
    </row>
    <row r="3" spans="1:58" s="88" customFormat="1" ht="15.75" x14ac:dyDescent="0.25">
      <c r="A3" s="88" t="s">
        <v>11</v>
      </c>
      <c r="B3" s="91" t="s">
        <v>111</v>
      </c>
      <c r="H3" s="88" t="s">
        <v>11</v>
      </c>
      <c r="I3" s="88" t="s">
        <v>950</v>
      </c>
      <c r="W3" s="78"/>
      <c r="X3" s="88" t="s">
        <v>274</v>
      </c>
      <c r="Y3" s="78"/>
      <c r="AB3" s="78"/>
      <c r="AD3" s="88" t="s">
        <v>279</v>
      </c>
      <c r="AJ3" s="90" t="s">
        <v>951</v>
      </c>
      <c r="AK3" s="90"/>
      <c r="AL3" s="89"/>
      <c r="AM3" s="89"/>
      <c r="AN3" s="90"/>
      <c r="AO3" s="90"/>
      <c r="AP3" s="90"/>
      <c r="AQ3" s="90"/>
      <c r="AR3" s="90"/>
      <c r="AS3" s="90"/>
      <c r="AT3" s="90"/>
      <c r="AU3" s="90"/>
      <c r="AV3" s="90"/>
      <c r="AW3" s="90"/>
      <c r="AX3" s="90"/>
      <c r="AY3" s="90"/>
      <c r="AZ3" s="90"/>
      <c r="BA3" s="90"/>
      <c r="BB3" s="89"/>
    </row>
    <row r="4" spans="1:58" x14ac:dyDescent="0.2">
      <c r="B4" s="78" t="s">
        <v>118</v>
      </c>
      <c r="C4" s="78" t="s">
        <v>129</v>
      </c>
      <c r="D4" s="78" t="s">
        <v>141</v>
      </c>
      <c r="E4" s="78" t="s">
        <v>173</v>
      </c>
      <c r="F4" s="78" t="s">
        <v>183</v>
      </c>
      <c r="G4" s="78" t="s">
        <v>190</v>
      </c>
      <c r="I4" s="78" t="s">
        <v>653</v>
      </c>
      <c r="J4" s="78" t="s">
        <v>659</v>
      </c>
      <c r="K4" s="78" t="s">
        <v>952</v>
      </c>
      <c r="L4" s="78" t="s">
        <v>662</v>
      </c>
      <c r="M4" s="78" t="s">
        <v>675</v>
      </c>
      <c r="N4" s="78" t="s">
        <v>685</v>
      </c>
      <c r="O4" s="78" t="s">
        <v>693</v>
      </c>
      <c r="P4" s="78" t="s">
        <v>703</v>
      </c>
      <c r="Q4" s="78" t="s">
        <v>707</v>
      </c>
      <c r="R4" s="78" t="s">
        <v>713</v>
      </c>
      <c r="S4" s="78" t="s">
        <v>721</v>
      </c>
      <c r="T4" s="78" t="s">
        <v>723</v>
      </c>
      <c r="U4" s="78" t="s">
        <v>738</v>
      </c>
      <c r="V4" s="78" t="s">
        <v>953</v>
      </c>
      <c r="W4" s="78" t="s">
        <v>272</v>
      </c>
      <c r="X4" s="78" t="s">
        <v>746</v>
      </c>
      <c r="Y4" s="78" t="s">
        <v>749</v>
      </c>
      <c r="Z4" s="78" t="s">
        <v>754</v>
      </c>
      <c r="AA4" s="78" t="s">
        <v>765</v>
      </c>
      <c r="AB4" s="78" t="s">
        <v>757</v>
      </c>
      <c r="AC4" s="78" t="s">
        <v>954</v>
      </c>
      <c r="AD4" s="78" t="s">
        <v>1345</v>
      </c>
      <c r="AE4" s="78" t="s">
        <v>765</v>
      </c>
      <c r="AF4" s="78" t="s">
        <v>953</v>
      </c>
      <c r="AG4" s="78" t="s">
        <v>767</v>
      </c>
      <c r="AH4" s="78" t="s">
        <v>955</v>
      </c>
      <c r="AJ4" s="80" t="s">
        <v>23</v>
      </c>
      <c r="AK4" s="80" t="s">
        <v>26</v>
      </c>
      <c r="AL4" s="79" t="s">
        <v>956</v>
      </c>
      <c r="AM4" s="79" t="s">
        <v>957</v>
      </c>
      <c r="AN4" s="80" t="s">
        <v>31</v>
      </c>
      <c r="AO4" s="80" t="s">
        <v>35</v>
      </c>
      <c r="AP4" s="80" t="s">
        <v>41</v>
      </c>
      <c r="AQ4" s="80" t="s">
        <v>24</v>
      </c>
      <c r="AR4" s="80" t="s">
        <v>27</v>
      </c>
      <c r="AS4" s="80" t="s">
        <v>29</v>
      </c>
      <c r="AT4" s="80" t="s">
        <v>32</v>
      </c>
      <c r="AU4" s="80" t="s">
        <v>36</v>
      </c>
      <c r="AV4" s="80" t="s">
        <v>25</v>
      </c>
      <c r="AW4" s="80" t="s">
        <v>28</v>
      </c>
      <c r="AX4" s="80" t="s">
        <v>30</v>
      </c>
      <c r="AY4" s="80" t="s">
        <v>33</v>
      </c>
      <c r="AZ4" s="80" t="s">
        <v>37</v>
      </c>
      <c r="BA4" s="80" t="s">
        <v>40</v>
      </c>
      <c r="BB4" s="79" t="s">
        <v>958</v>
      </c>
      <c r="BC4" s="78" t="s">
        <v>959</v>
      </c>
      <c r="BD4" s="78" t="s">
        <v>960</v>
      </c>
      <c r="BE4" s="78" t="s">
        <v>961</v>
      </c>
      <c r="BF4" s="78" t="s">
        <v>962</v>
      </c>
    </row>
    <row r="5" spans="1:58" x14ac:dyDescent="0.2">
      <c r="A5" s="78" t="s">
        <v>12</v>
      </c>
      <c r="B5" s="80"/>
      <c r="C5" s="80"/>
      <c r="D5" s="80"/>
      <c r="E5" s="80"/>
      <c r="F5" s="80"/>
      <c r="G5" s="80"/>
      <c r="H5" s="78" t="s">
        <v>12</v>
      </c>
      <c r="I5" s="85">
        <v>0</v>
      </c>
      <c r="J5" s="80">
        <v>0</v>
      </c>
      <c r="K5" s="80"/>
      <c r="L5" s="80"/>
      <c r="M5" s="80"/>
      <c r="N5" s="80"/>
      <c r="O5" s="80"/>
      <c r="P5" s="80"/>
      <c r="Q5" s="80"/>
      <c r="R5" s="80"/>
      <c r="S5" s="80"/>
      <c r="T5" s="80"/>
      <c r="U5" s="80"/>
      <c r="V5" s="80"/>
      <c r="W5" s="80"/>
      <c r="X5" s="80"/>
      <c r="Y5" s="80"/>
      <c r="Z5" s="80"/>
      <c r="AA5" s="80"/>
      <c r="AB5" s="80"/>
      <c r="AC5" s="80"/>
      <c r="AD5" s="80"/>
      <c r="AJ5" s="80">
        <v>0</v>
      </c>
      <c r="AK5" s="80">
        <v>0</v>
      </c>
      <c r="AL5" s="79">
        <v>4</v>
      </c>
      <c r="AM5" s="79">
        <v>10</v>
      </c>
      <c r="AN5" s="80">
        <v>0</v>
      </c>
      <c r="AO5" s="80">
        <v>0</v>
      </c>
      <c r="AP5" s="80">
        <v>0</v>
      </c>
      <c r="AQ5" s="80">
        <v>0</v>
      </c>
      <c r="AR5" s="80">
        <v>0</v>
      </c>
      <c r="AS5" s="80">
        <v>0</v>
      </c>
      <c r="AT5" s="80">
        <v>0</v>
      </c>
      <c r="AU5" s="80">
        <v>0</v>
      </c>
      <c r="AV5" s="80">
        <v>0</v>
      </c>
      <c r="AW5" s="80">
        <v>0</v>
      </c>
      <c r="AX5" s="80">
        <v>0</v>
      </c>
      <c r="AY5" s="80">
        <v>0</v>
      </c>
      <c r="AZ5" s="80">
        <v>0</v>
      </c>
      <c r="BA5" s="80">
        <v>0</v>
      </c>
      <c r="BB5" s="79">
        <v>6</v>
      </c>
      <c r="BC5" s="80">
        <v>-3</v>
      </c>
      <c r="BD5" s="80">
        <f t="shared" ref="BD5:BD13" si="0">AN5</f>
        <v>0</v>
      </c>
      <c r="BE5" s="80">
        <v>3</v>
      </c>
      <c r="BF5" s="80">
        <v>-1</v>
      </c>
    </row>
    <row r="6" spans="1:58" x14ac:dyDescent="0.2">
      <c r="A6" s="78" t="s">
        <v>963</v>
      </c>
      <c r="B6" s="80"/>
      <c r="C6" s="80"/>
      <c r="D6" s="80"/>
      <c r="E6" s="80">
        <v>-1</v>
      </c>
      <c r="F6" s="80"/>
      <c r="G6" s="80">
        <v>1</v>
      </c>
      <c r="H6" s="78" t="s">
        <v>963</v>
      </c>
      <c r="I6" s="85">
        <v>0</v>
      </c>
      <c r="J6" s="80"/>
      <c r="K6" s="80"/>
      <c r="M6" s="80">
        <v>1</v>
      </c>
      <c r="N6" s="80"/>
      <c r="O6" s="80"/>
      <c r="P6" s="80"/>
      <c r="Q6" s="80"/>
      <c r="R6" s="80"/>
      <c r="S6" s="80"/>
      <c r="T6" s="80"/>
      <c r="U6" s="80"/>
      <c r="V6" s="80"/>
      <c r="W6" s="80"/>
      <c r="X6" s="80"/>
      <c r="Y6" s="80"/>
      <c r="Z6" s="80"/>
      <c r="AA6" s="80"/>
      <c r="AB6" s="80"/>
      <c r="AC6" s="80"/>
      <c r="AD6" s="80"/>
      <c r="AJ6" s="80">
        <v>0</v>
      </c>
      <c r="AK6" s="80">
        <v>0</v>
      </c>
      <c r="AL6" s="79">
        <v>4</v>
      </c>
      <c r="AM6" s="79">
        <v>10</v>
      </c>
      <c r="AN6" s="80">
        <v>1</v>
      </c>
      <c r="AO6" s="80">
        <v>0</v>
      </c>
      <c r="AP6" s="80">
        <v>0</v>
      </c>
      <c r="AQ6" s="80">
        <v>0</v>
      </c>
      <c r="AR6" s="80">
        <v>0</v>
      </c>
      <c r="AS6" s="80">
        <v>0</v>
      </c>
      <c r="AT6" s="80">
        <v>0</v>
      </c>
      <c r="AU6" s="80">
        <v>0</v>
      </c>
      <c r="AV6" s="80">
        <v>0</v>
      </c>
      <c r="AW6" s="80">
        <v>0</v>
      </c>
      <c r="AX6" s="80">
        <v>0</v>
      </c>
      <c r="AY6" s="80">
        <v>0</v>
      </c>
      <c r="AZ6" s="80">
        <v>0</v>
      </c>
      <c r="BA6" s="80">
        <v>0</v>
      </c>
      <c r="BB6" s="79">
        <v>6</v>
      </c>
      <c r="BC6" s="80">
        <v>-3</v>
      </c>
      <c r="BD6" s="80">
        <f t="shared" si="0"/>
        <v>1</v>
      </c>
      <c r="BE6" s="80">
        <v>3</v>
      </c>
      <c r="BF6" s="80">
        <v>-1</v>
      </c>
    </row>
    <row r="7" spans="1:58" x14ac:dyDescent="0.2">
      <c r="A7" s="78" t="s">
        <v>964</v>
      </c>
      <c r="B7" s="80"/>
      <c r="C7" s="80"/>
      <c r="D7" s="80">
        <v>1</v>
      </c>
      <c r="E7" s="80"/>
      <c r="F7" s="80"/>
      <c r="G7" s="80"/>
      <c r="H7" s="78" t="s">
        <v>964</v>
      </c>
      <c r="I7" s="85">
        <v>0</v>
      </c>
      <c r="J7" s="80"/>
      <c r="K7" s="80"/>
      <c r="L7" s="80"/>
      <c r="M7" s="80"/>
      <c r="N7" s="80"/>
      <c r="O7" s="80"/>
      <c r="P7" s="80"/>
      <c r="S7" s="80"/>
      <c r="T7" s="80"/>
      <c r="U7" s="80"/>
      <c r="W7" s="80"/>
      <c r="X7" s="80">
        <v>1</v>
      </c>
      <c r="Y7" s="80"/>
      <c r="Z7" s="80"/>
      <c r="AB7" s="80"/>
      <c r="AC7" s="80"/>
      <c r="AD7" s="80"/>
      <c r="AJ7" s="80">
        <v>0</v>
      </c>
      <c r="AK7" s="80">
        <v>0</v>
      </c>
      <c r="AL7" s="79">
        <v>4</v>
      </c>
      <c r="AM7" s="79">
        <v>10</v>
      </c>
      <c r="AN7" s="80">
        <v>0</v>
      </c>
      <c r="AO7" s="80">
        <v>0</v>
      </c>
      <c r="AP7" s="80">
        <v>0</v>
      </c>
      <c r="AQ7" s="80">
        <v>1</v>
      </c>
      <c r="AR7" s="80">
        <v>1</v>
      </c>
      <c r="AS7" s="80">
        <v>0</v>
      </c>
      <c r="AT7" s="80">
        <v>1</v>
      </c>
      <c r="AU7" s="80">
        <v>0</v>
      </c>
      <c r="AV7" s="80">
        <v>0</v>
      </c>
      <c r="AW7" s="80">
        <v>0</v>
      </c>
      <c r="AX7" s="80">
        <v>0</v>
      </c>
      <c r="AY7" s="80">
        <v>0</v>
      </c>
      <c r="AZ7" s="80">
        <v>0</v>
      </c>
      <c r="BA7" s="80">
        <v>2</v>
      </c>
      <c r="BB7" s="79">
        <v>6</v>
      </c>
      <c r="BC7" s="80">
        <v>-3</v>
      </c>
      <c r="BD7" s="80">
        <f t="shared" si="0"/>
        <v>0</v>
      </c>
      <c r="BE7" s="80">
        <v>3</v>
      </c>
      <c r="BF7" s="80">
        <v>-1</v>
      </c>
    </row>
    <row r="8" spans="1:58" x14ac:dyDescent="0.2">
      <c r="A8" s="78" t="s">
        <v>965</v>
      </c>
      <c r="B8" s="80"/>
      <c r="C8" s="80"/>
      <c r="D8" s="80">
        <v>1</v>
      </c>
      <c r="E8" s="80"/>
      <c r="F8" s="80"/>
      <c r="G8" s="80">
        <v>-1</v>
      </c>
      <c r="H8" s="78" t="s">
        <v>965</v>
      </c>
      <c r="I8" s="85">
        <v>0</v>
      </c>
      <c r="J8" s="80"/>
      <c r="K8" s="80"/>
      <c r="L8" s="80"/>
      <c r="M8" s="80"/>
      <c r="N8" s="80"/>
      <c r="O8" s="80"/>
      <c r="P8" s="80"/>
      <c r="Q8" s="80">
        <v>1</v>
      </c>
      <c r="R8" s="80"/>
      <c r="S8" s="80"/>
      <c r="T8" s="80"/>
      <c r="U8" s="80"/>
      <c r="V8" s="80"/>
      <c r="W8" s="80"/>
      <c r="X8" s="80">
        <v>1</v>
      </c>
      <c r="Y8" s="80"/>
      <c r="Z8" s="80"/>
      <c r="AA8" s="80"/>
      <c r="AB8" s="80"/>
      <c r="AC8" s="80"/>
      <c r="AD8" s="80"/>
      <c r="AH8" s="80">
        <v>1</v>
      </c>
      <c r="AJ8" s="80">
        <v>0</v>
      </c>
      <c r="AK8" s="80">
        <v>0</v>
      </c>
      <c r="AL8" s="79">
        <v>4</v>
      </c>
      <c r="AM8" s="79">
        <v>10</v>
      </c>
      <c r="AN8" s="80">
        <v>0</v>
      </c>
      <c r="AO8" s="80">
        <v>0</v>
      </c>
      <c r="AP8" s="80">
        <v>0</v>
      </c>
      <c r="AQ8" s="80">
        <v>1</v>
      </c>
      <c r="AR8" s="80">
        <v>1</v>
      </c>
      <c r="AS8" s="80">
        <v>0</v>
      </c>
      <c r="AT8" s="80">
        <v>0</v>
      </c>
      <c r="AU8" s="80">
        <v>0</v>
      </c>
      <c r="AV8" s="80">
        <v>0</v>
      </c>
      <c r="AW8" s="80">
        <v>0</v>
      </c>
      <c r="AX8" s="80">
        <v>0</v>
      </c>
      <c r="AY8" s="80">
        <v>0</v>
      </c>
      <c r="AZ8" s="80">
        <v>0</v>
      </c>
      <c r="BA8" s="80">
        <v>0</v>
      </c>
      <c r="BB8" s="79">
        <v>6</v>
      </c>
      <c r="BC8" s="80">
        <v>-3</v>
      </c>
      <c r="BD8" s="80">
        <f t="shared" si="0"/>
        <v>0</v>
      </c>
      <c r="BE8" s="80">
        <v>3</v>
      </c>
      <c r="BF8" s="80">
        <v>-1</v>
      </c>
    </row>
    <row r="9" spans="1:58" x14ac:dyDescent="0.2">
      <c r="A9" s="78" t="s">
        <v>966</v>
      </c>
      <c r="B9" s="80">
        <v>2</v>
      </c>
      <c r="C9" s="80">
        <v>1</v>
      </c>
      <c r="D9" s="80">
        <v>1</v>
      </c>
      <c r="E9" s="80"/>
      <c r="F9" s="80"/>
      <c r="G9" s="80"/>
      <c r="H9" s="78" t="s">
        <v>966</v>
      </c>
      <c r="I9" s="85">
        <v>0</v>
      </c>
      <c r="J9" s="80"/>
      <c r="K9" s="80"/>
      <c r="L9" s="80">
        <v>1</v>
      </c>
      <c r="M9" s="80"/>
      <c r="N9" s="80"/>
      <c r="O9" s="80"/>
      <c r="P9" s="80"/>
      <c r="Q9" s="80"/>
      <c r="R9" s="80"/>
      <c r="S9" s="80"/>
      <c r="T9" s="80"/>
      <c r="U9" s="80"/>
      <c r="V9" s="80"/>
      <c r="W9" s="80"/>
      <c r="X9" s="80"/>
      <c r="Y9" s="80"/>
      <c r="Z9" s="80"/>
      <c r="AA9" s="80"/>
      <c r="AB9" s="80"/>
      <c r="AC9" s="80"/>
      <c r="AD9" s="80"/>
      <c r="AJ9" s="80">
        <v>0</v>
      </c>
      <c r="AK9" s="80">
        <v>0</v>
      </c>
      <c r="AL9" s="79">
        <v>4</v>
      </c>
      <c r="AM9" s="79">
        <v>10</v>
      </c>
      <c r="AN9" s="80">
        <v>1</v>
      </c>
      <c r="AO9" s="80">
        <v>0</v>
      </c>
      <c r="AP9" s="80">
        <v>0</v>
      </c>
      <c r="AQ9" s="80">
        <v>1</v>
      </c>
      <c r="AR9" s="80">
        <v>1</v>
      </c>
      <c r="AS9" s="80">
        <v>-1</v>
      </c>
      <c r="AT9" s="80">
        <v>1</v>
      </c>
      <c r="AU9" s="80">
        <v>-1</v>
      </c>
      <c r="AV9" s="80">
        <v>0</v>
      </c>
      <c r="AW9" s="80">
        <v>0</v>
      </c>
      <c r="AX9" s="80">
        <v>0</v>
      </c>
      <c r="AY9" s="80">
        <v>0</v>
      </c>
      <c r="AZ9" s="80">
        <v>1</v>
      </c>
      <c r="BA9" s="80">
        <v>-1</v>
      </c>
      <c r="BB9" s="79">
        <v>6</v>
      </c>
      <c r="BC9" s="80">
        <v>-2</v>
      </c>
      <c r="BD9" s="80">
        <f t="shared" si="0"/>
        <v>1</v>
      </c>
      <c r="BE9" s="80">
        <v>3</v>
      </c>
      <c r="BF9" s="80">
        <v>-1</v>
      </c>
    </row>
    <row r="10" spans="1:58" x14ac:dyDescent="0.2">
      <c r="A10" s="87" t="s">
        <v>967</v>
      </c>
      <c r="B10" s="85">
        <v>1</v>
      </c>
      <c r="C10" s="85">
        <v>1</v>
      </c>
      <c r="D10" s="85">
        <v>1</v>
      </c>
      <c r="E10" s="85">
        <v>-2</v>
      </c>
      <c r="F10" s="85"/>
      <c r="G10" s="85">
        <v>1</v>
      </c>
      <c r="H10" s="87" t="s">
        <v>967</v>
      </c>
      <c r="I10" s="85">
        <v>0</v>
      </c>
      <c r="J10" s="85"/>
      <c r="K10" s="85">
        <v>1</v>
      </c>
      <c r="L10" s="85">
        <v>0</v>
      </c>
      <c r="M10" s="85"/>
      <c r="N10" s="85"/>
      <c r="O10" s="85"/>
      <c r="P10" s="85"/>
      <c r="Q10" s="85"/>
      <c r="R10" s="85"/>
      <c r="S10" s="85"/>
      <c r="T10" s="85">
        <v>2</v>
      </c>
      <c r="U10" s="85">
        <v>1</v>
      </c>
      <c r="V10" s="85"/>
      <c r="W10" s="85"/>
      <c r="X10" s="85">
        <v>2</v>
      </c>
      <c r="Y10" s="85">
        <v>-2</v>
      </c>
      <c r="Z10" s="85"/>
      <c r="AA10" s="85"/>
      <c r="AB10" s="85"/>
      <c r="AC10" s="85">
        <v>1</v>
      </c>
      <c r="AD10" s="85"/>
      <c r="AE10" s="87"/>
      <c r="AF10" s="87"/>
      <c r="AG10" s="87"/>
      <c r="AH10" s="87"/>
      <c r="AI10" s="87"/>
      <c r="AJ10" s="85">
        <v>0</v>
      </c>
      <c r="AK10" s="85">
        <v>0</v>
      </c>
      <c r="AL10" s="86">
        <v>4</v>
      </c>
      <c r="AM10" s="86">
        <v>10</v>
      </c>
      <c r="AN10" s="85">
        <v>1</v>
      </c>
      <c r="AO10" s="85">
        <v>-1</v>
      </c>
      <c r="AP10" s="85">
        <v>0</v>
      </c>
      <c r="AQ10" s="85">
        <v>0</v>
      </c>
      <c r="AR10" s="85">
        <v>0</v>
      </c>
      <c r="AS10" s="85">
        <v>1</v>
      </c>
      <c r="AT10" s="85">
        <v>1</v>
      </c>
      <c r="AU10" s="85">
        <v>1</v>
      </c>
      <c r="AV10" s="85">
        <v>0</v>
      </c>
      <c r="AW10" s="85">
        <v>0</v>
      </c>
      <c r="AX10" s="85">
        <v>0</v>
      </c>
      <c r="AY10" s="85">
        <v>-1</v>
      </c>
      <c r="AZ10" s="85">
        <v>0</v>
      </c>
      <c r="BA10" s="85">
        <v>2</v>
      </c>
      <c r="BB10" s="86">
        <v>6</v>
      </c>
      <c r="BC10" s="85">
        <v>-3</v>
      </c>
      <c r="BD10" s="85">
        <f t="shared" si="0"/>
        <v>1</v>
      </c>
      <c r="BE10" s="85">
        <v>3</v>
      </c>
      <c r="BF10" s="85">
        <v>-2</v>
      </c>
    </row>
    <row r="11" spans="1:58" x14ac:dyDescent="0.2">
      <c r="A11" s="78" t="s">
        <v>968</v>
      </c>
      <c r="B11" s="80"/>
      <c r="C11" s="80"/>
      <c r="D11" s="80"/>
      <c r="E11" s="80"/>
      <c r="F11" s="80"/>
      <c r="G11" s="80"/>
      <c r="H11" s="78" t="s">
        <v>968</v>
      </c>
      <c r="I11" s="85">
        <v>0</v>
      </c>
      <c r="J11" s="80">
        <v>0</v>
      </c>
      <c r="K11" s="80"/>
      <c r="L11" s="80"/>
      <c r="M11" s="80"/>
      <c r="N11" s="80"/>
      <c r="O11" s="80"/>
      <c r="P11" s="80"/>
      <c r="Q11" s="80"/>
      <c r="R11" s="80"/>
      <c r="S11" s="80"/>
      <c r="T11" s="80"/>
      <c r="U11" s="80"/>
      <c r="V11" s="80"/>
      <c r="W11" s="80"/>
      <c r="X11" s="80"/>
      <c r="Y11" s="80"/>
      <c r="Z11" s="80"/>
      <c r="AA11" s="80"/>
      <c r="AB11" s="80"/>
      <c r="AC11" s="80"/>
      <c r="AD11" s="80"/>
      <c r="AJ11" s="80">
        <v>0</v>
      </c>
      <c r="AK11" s="80">
        <v>0</v>
      </c>
      <c r="AL11" s="79">
        <v>4</v>
      </c>
      <c r="AM11" s="79">
        <v>10</v>
      </c>
      <c r="AN11" s="80">
        <v>-1</v>
      </c>
      <c r="AO11" s="80">
        <v>-1</v>
      </c>
      <c r="AP11" s="80">
        <v>1</v>
      </c>
      <c r="AQ11" s="80">
        <v>0</v>
      </c>
      <c r="AR11" s="80">
        <v>0</v>
      </c>
      <c r="AS11" s="80">
        <v>0</v>
      </c>
      <c r="AT11" s="80">
        <v>0</v>
      </c>
      <c r="AU11" s="80">
        <v>0</v>
      </c>
      <c r="AV11" s="80">
        <v>0</v>
      </c>
      <c r="AW11" s="80">
        <v>0</v>
      </c>
      <c r="AX11" s="80">
        <v>0</v>
      </c>
      <c r="AY11" s="80">
        <v>0</v>
      </c>
      <c r="AZ11" s="80">
        <v>0</v>
      </c>
      <c r="BA11" s="80">
        <v>0</v>
      </c>
      <c r="BB11" s="79">
        <v>6</v>
      </c>
      <c r="BC11" s="80">
        <v>-3</v>
      </c>
      <c r="BD11" s="80">
        <f t="shared" si="0"/>
        <v>-1</v>
      </c>
      <c r="BE11" s="80">
        <v>3</v>
      </c>
      <c r="BF11" s="80">
        <v>-2</v>
      </c>
    </row>
    <row r="12" spans="1:58" x14ac:dyDescent="0.2">
      <c r="A12" s="78" t="s">
        <v>969</v>
      </c>
      <c r="B12" s="80">
        <v>1</v>
      </c>
      <c r="C12" s="80"/>
      <c r="D12" s="80">
        <v>1</v>
      </c>
      <c r="E12" s="80"/>
      <c r="F12" s="80">
        <v>1</v>
      </c>
      <c r="G12" s="80">
        <v>1</v>
      </c>
      <c r="H12" s="78" t="s">
        <v>969</v>
      </c>
      <c r="I12" s="85">
        <v>0</v>
      </c>
      <c r="J12" s="80"/>
      <c r="K12" s="80"/>
      <c r="L12" s="80"/>
      <c r="M12" s="80"/>
      <c r="N12" s="80"/>
      <c r="O12" s="80"/>
      <c r="P12" s="80"/>
      <c r="Q12" s="80"/>
      <c r="R12" s="80"/>
      <c r="S12" s="80"/>
      <c r="T12" s="80">
        <v>1</v>
      </c>
      <c r="U12" s="80"/>
      <c r="V12" s="80"/>
      <c r="W12" s="80"/>
      <c r="X12" s="80"/>
      <c r="Y12" s="80"/>
      <c r="Z12" s="80"/>
      <c r="AA12" s="80"/>
      <c r="AB12" s="80"/>
      <c r="AC12" s="80"/>
      <c r="AD12" s="80"/>
      <c r="AJ12" s="80">
        <v>0</v>
      </c>
      <c r="AK12" s="80">
        <v>0</v>
      </c>
      <c r="AL12" s="79">
        <v>4</v>
      </c>
      <c r="AM12" s="79">
        <v>10</v>
      </c>
      <c r="AN12" s="80">
        <v>3</v>
      </c>
      <c r="AO12" s="80">
        <v>1</v>
      </c>
      <c r="AP12" s="80">
        <v>1</v>
      </c>
      <c r="AQ12" s="80">
        <v>1</v>
      </c>
      <c r="AR12" s="80">
        <v>0</v>
      </c>
      <c r="AS12" s="80">
        <v>-1</v>
      </c>
      <c r="AT12" s="80">
        <v>0</v>
      </c>
      <c r="AU12" s="80">
        <v>0</v>
      </c>
      <c r="AV12" s="80">
        <v>1</v>
      </c>
      <c r="AW12" s="80">
        <v>0</v>
      </c>
      <c r="AX12" s="80">
        <v>0</v>
      </c>
      <c r="AY12" s="80">
        <v>-1</v>
      </c>
      <c r="AZ12" s="80">
        <v>1</v>
      </c>
      <c r="BA12" s="80">
        <v>-1</v>
      </c>
      <c r="BB12" s="79">
        <v>6</v>
      </c>
      <c r="BC12" s="80">
        <v>-2</v>
      </c>
      <c r="BD12" s="80">
        <f t="shared" si="0"/>
        <v>3</v>
      </c>
      <c r="BE12" s="80">
        <v>4</v>
      </c>
      <c r="BF12" s="80">
        <v>0</v>
      </c>
    </row>
    <row r="13" spans="1:58" x14ac:dyDescent="0.2">
      <c r="A13" s="78" t="s">
        <v>970</v>
      </c>
      <c r="B13" s="80"/>
      <c r="C13" s="80"/>
      <c r="D13" s="80">
        <v>1</v>
      </c>
      <c r="E13" s="80">
        <v>-2</v>
      </c>
      <c r="F13" s="80">
        <v>-1</v>
      </c>
      <c r="G13" s="80">
        <v>1</v>
      </c>
      <c r="H13" s="78" t="s">
        <v>970</v>
      </c>
      <c r="I13" s="85">
        <v>0</v>
      </c>
      <c r="J13" s="80"/>
      <c r="K13" s="80"/>
      <c r="L13" s="80"/>
      <c r="M13" s="80"/>
      <c r="N13" s="80"/>
      <c r="O13" s="80"/>
      <c r="P13" s="80"/>
      <c r="Q13" s="80"/>
      <c r="R13" s="80"/>
      <c r="S13" s="80"/>
      <c r="T13" s="80"/>
      <c r="U13" s="80"/>
      <c r="V13" s="80"/>
      <c r="W13" s="80"/>
      <c r="X13" s="80"/>
      <c r="Y13" s="80"/>
      <c r="Z13" s="80"/>
      <c r="AA13" s="80"/>
      <c r="AB13" s="80"/>
      <c r="AC13" s="80"/>
      <c r="AD13" s="80"/>
      <c r="AJ13" s="80">
        <v>2</v>
      </c>
      <c r="AK13" s="80">
        <v>0</v>
      </c>
      <c r="AL13" s="79">
        <v>4</v>
      </c>
      <c r="AM13" s="79">
        <v>10</v>
      </c>
      <c r="AN13" s="80">
        <v>1</v>
      </c>
      <c r="AO13" s="80">
        <v>0</v>
      </c>
      <c r="AP13" s="80">
        <v>-3</v>
      </c>
      <c r="AQ13" s="80">
        <v>1</v>
      </c>
      <c r="AR13" s="80">
        <v>1</v>
      </c>
      <c r="AS13" s="80">
        <v>1</v>
      </c>
      <c r="AT13" s="80">
        <v>2</v>
      </c>
      <c r="AU13" s="80">
        <v>1</v>
      </c>
      <c r="AV13" s="80">
        <v>-2</v>
      </c>
      <c r="AW13" s="80">
        <v>-1</v>
      </c>
      <c r="AX13" s="80">
        <v>0</v>
      </c>
      <c r="AY13" s="80">
        <v>0</v>
      </c>
      <c r="AZ13" s="80">
        <v>0</v>
      </c>
      <c r="BA13" s="80">
        <v>1</v>
      </c>
      <c r="BB13" s="79">
        <v>6</v>
      </c>
      <c r="BC13" s="80">
        <v>-1</v>
      </c>
      <c r="BD13" s="80">
        <f t="shared" si="0"/>
        <v>1</v>
      </c>
      <c r="BE13" s="80">
        <v>0</v>
      </c>
      <c r="BF13" s="80">
        <v>-1</v>
      </c>
    </row>
    <row r="14" spans="1:58" x14ac:dyDescent="0.2">
      <c r="B14" s="80"/>
      <c r="C14" s="80"/>
      <c r="D14" s="80"/>
      <c r="E14" s="80"/>
      <c r="F14" s="80"/>
      <c r="G14" s="80"/>
      <c r="I14" s="80"/>
      <c r="J14" s="80"/>
      <c r="K14" s="80"/>
      <c r="L14" s="80"/>
      <c r="M14" s="80"/>
      <c r="N14" s="80"/>
      <c r="O14" s="80"/>
      <c r="P14" s="80"/>
      <c r="Q14" s="80"/>
      <c r="R14" s="80"/>
      <c r="S14" s="80"/>
      <c r="T14" s="80"/>
      <c r="U14" s="80"/>
      <c r="V14" s="80"/>
      <c r="W14" s="80"/>
      <c r="X14" s="80"/>
      <c r="Y14" s="80"/>
      <c r="Z14" s="80"/>
      <c r="AA14" s="80"/>
      <c r="AB14" s="80"/>
      <c r="AC14" s="80"/>
      <c r="AD14" s="80"/>
    </row>
    <row r="15" spans="1:58" x14ac:dyDescent="0.2">
      <c r="A15" s="78" t="s">
        <v>971</v>
      </c>
      <c r="B15" s="80">
        <v>2</v>
      </c>
      <c r="C15" s="80">
        <v>1</v>
      </c>
      <c r="D15" s="80">
        <v>3</v>
      </c>
      <c r="E15" s="80">
        <v>1</v>
      </c>
      <c r="F15" s="80">
        <v>2</v>
      </c>
      <c r="G15" s="80">
        <v>2</v>
      </c>
      <c r="H15" s="78" t="s">
        <v>971</v>
      </c>
      <c r="I15" s="85">
        <v>0</v>
      </c>
      <c r="J15" s="80">
        <v>1</v>
      </c>
      <c r="K15" s="80"/>
      <c r="L15" s="80">
        <v>1</v>
      </c>
      <c r="M15" s="80"/>
      <c r="N15" s="80"/>
      <c r="O15" s="80"/>
      <c r="P15" s="80"/>
      <c r="Q15" s="80"/>
      <c r="R15" s="80"/>
      <c r="S15" s="80">
        <v>1</v>
      </c>
      <c r="T15" s="80">
        <v>1</v>
      </c>
      <c r="U15" s="80"/>
      <c r="V15" s="80"/>
      <c r="W15" s="80"/>
      <c r="X15" s="80"/>
      <c r="Y15" s="80">
        <v>1</v>
      </c>
      <c r="Z15" s="80"/>
      <c r="AA15" s="80"/>
      <c r="AB15" s="80"/>
      <c r="AC15" s="80"/>
      <c r="AD15" s="80"/>
      <c r="AJ15" s="80">
        <v>-1</v>
      </c>
      <c r="AK15" s="80">
        <v>2</v>
      </c>
      <c r="AL15" s="79">
        <v>2</v>
      </c>
      <c r="AM15" s="79">
        <v>8</v>
      </c>
      <c r="AN15" s="80">
        <v>0</v>
      </c>
      <c r="AO15" s="80">
        <v>0</v>
      </c>
      <c r="AP15" s="80">
        <v>1</v>
      </c>
      <c r="AQ15" s="80">
        <v>2</v>
      </c>
      <c r="AR15" s="80">
        <v>1</v>
      </c>
      <c r="AS15" s="80">
        <v>1</v>
      </c>
      <c r="AT15" s="80">
        <v>1</v>
      </c>
      <c r="AU15" s="80">
        <v>1</v>
      </c>
      <c r="AV15" s="80">
        <v>1</v>
      </c>
      <c r="AW15" s="80">
        <v>2</v>
      </c>
      <c r="AX15" s="80">
        <v>1</v>
      </c>
      <c r="AY15" s="80">
        <v>1</v>
      </c>
      <c r="AZ15" s="80">
        <v>-1</v>
      </c>
      <c r="BA15" s="80">
        <v>3</v>
      </c>
      <c r="BB15" s="79">
        <v>6</v>
      </c>
      <c r="BC15" s="80">
        <v>-3</v>
      </c>
      <c r="BD15" s="80">
        <v>-1</v>
      </c>
      <c r="BE15" s="80">
        <v>3</v>
      </c>
      <c r="BF15" s="80">
        <v>-1</v>
      </c>
    </row>
    <row r="16" spans="1:58" x14ac:dyDescent="0.2">
      <c r="A16" s="78" t="s">
        <v>972</v>
      </c>
      <c r="B16" s="80">
        <v>3</v>
      </c>
      <c r="C16" s="80">
        <v>2</v>
      </c>
      <c r="D16" s="80">
        <v>4</v>
      </c>
      <c r="E16" s="80">
        <v>2</v>
      </c>
      <c r="F16" s="80">
        <v>3</v>
      </c>
      <c r="G16" s="80">
        <v>2</v>
      </c>
      <c r="H16" s="78" t="s">
        <v>972</v>
      </c>
      <c r="I16" s="85">
        <v>0</v>
      </c>
      <c r="J16" s="80">
        <v>1</v>
      </c>
      <c r="K16" s="80"/>
      <c r="L16" s="80">
        <v>1</v>
      </c>
      <c r="M16" s="80"/>
      <c r="N16" s="80"/>
      <c r="O16" s="80"/>
      <c r="P16" s="80"/>
      <c r="Q16" s="80"/>
      <c r="R16" s="80"/>
      <c r="S16" s="80">
        <v>1</v>
      </c>
      <c r="T16" s="80">
        <v>1</v>
      </c>
      <c r="U16" s="80"/>
      <c r="V16" s="80"/>
      <c r="W16" s="80"/>
      <c r="X16" s="80"/>
      <c r="Y16" s="80">
        <v>1</v>
      </c>
      <c r="Z16" s="80"/>
      <c r="AA16" s="80"/>
      <c r="AB16" s="80"/>
      <c r="AC16" s="80"/>
      <c r="AD16" s="80"/>
      <c r="AJ16" s="80">
        <v>0</v>
      </c>
      <c r="AK16" s="80">
        <v>4</v>
      </c>
      <c r="AL16" s="79">
        <v>2</v>
      </c>
      <c r="AM16" s="79">
        <v>8</v>
      </c>
      <c r="AN16" s="80">
        <v>1</v>
      </c>
      <c r="AO16" s="80">
        <v>1</v>
      </c>
      <c r="AP16" s="80">
        <v>3</v>
      </c>
      <c r="AQ16" s="80">
        <v>3</v>
      </c>
      <c r="AR16" s="80">
        <v>2</v>
      </c>
      <c r="AS16" s="80">
        <v>1</v>
      </c>
      <c r="AT16" s="80">
        <v>1</v>
      </c>
      <c r="AU16" s="80">
        <v>1</v>
      </c>
      <c r="AV16" s="80">
        <v>2</v>
      </c>
      <c r="AW16" s="80">
        <v>4</v>
      </c>
      <c r="AX16" s="80">
        <v>2</v>
      </c>
      <c r="AY16" s="80">
        <v>2</v>
      </c>
      <c r="AZ16" s="80">
        <v>-2</v>
      </c>
      <c r="BA16" s="80">
        <v>2</v>
      </c>
      <c r="BB16" s="79">
        <v>6</v>
      </c>
      <c r="BC16" s="80">
        <v>-2</v>
      </c>
      <c r="BD16" s="80">
        <v>0</v>
      </c>
      <c r="BE16" s="80">
        <v>5</v>
      </c>
      <c r="BF16" s="80">
        <v>0</v>
      </c>
    </row>
    <row r="17" spans="1:59" x14ac:dyDescent="0.2">
      <c r="B17" s="80"/>
      <c r="C17" s="80"/>
      <c r="D17" s="80"/>
      <c r="E17" s="80"/>
      <c r="F17" s="80"/>
      <c r="G17" s="80"/>
      <c r="I17" s="80"/>
      <c r="J17" s="80"/>
      <c r="K17" s="80"/>
      <c r="L17" s="80"/>
      <c r="M17" s="80"/>
      <c r="N17" s="80"/>
      <c r="O17" s="80"/>
      <c r="P17" s="80"/>
      <c r="Q17" s="80"/>
      <c r="R17" s="80"/>
      <c r="S17" s="80"/>
      <c r="T17" s="80"/>
      <c r="U17" s="80"/>
      <c r="V17" s="80"/>
      <c r="W17" s="80"/>
      <c r="X17" s="80"/>
      <c r="Y17" s="80"/>
      <c r="Z17" s="80"/>
      <c r="AA17" s="80"/>
      <c r="AB17" s="80"/>
      <c r="AC17" s="80"/>
      <c r="AD17" s="80"/>
    </row>
    <row r="18" spans="1:59" x14ac:dyDescent="0.2">
      <c r="A18" s="78" t="s">
        <v>973</v>
      </c>
      <c r="B18" s="80">
        <v>-1</v>
      </c>
      <c r="C18" s="80">
        <v>-2</v>
      </c>
      <c r="D18" s="80">
        <v>2</v>
      </c>
      <c r="E18" s="80">
        <v>-3</v>
      </c>
      <c r="F18" s="80">
        <v>4</v>
      </c>
      <c r="G18" s="80">
        <v>3</v>
      </c>
      <c r="H18" s="78" t="s">
        <v>973</v>
      </c>
      <c r="I18" s="80"/>
      <c r="J18" s="80"/>
      <c r="K18" s="80"/>
      <c r="L18" s="80"/>
      <c r="M18" s="80">
        <v>1</v>
      </c>
      <c r="N18" s="80">
        <v>1</v>
      </c>
      <c r="O18" s="80">
        <v>1</v>
      </c>
      <c r="P18" s="80">
        <v>1</v>
      </c>
      <c r="Q18" s="80"/>
      <c r="R18" s="80"/>
      <c r="S18" s="80"/>
      <c r="T18" s="80"/>
      <c r="U18" s="80"/>
      <c r="V18" s="80"/>
      <c r="W18" s="80"/>
      <c r="X18" s="80"/>
      <c r="Y18" s="80"/>
      <c r="Z18" s="80"/>
      <c r="AA18" s="80"/>
      <c r="AB18" s="80"/>
      <c r="AC18" s="80"/>
      <c r="AD18" s="80"/>
      <c r="AJ18" s="80">
        <v>4</v>
      </c>
      <c r="AK18" s="80">
        <v>1</v>
      </c>
      <c r="AL18" s="79">
        <v>3</v>
      </c>
      <c r="AM18" s="79">
        <v>8</v>
      </c>
      <c r="AN18" s="80">
        <v>5</v>
      </c>
      <c r="AO18" s="80">
        <v>0</v>
      </c>
      <c r="AP18" s="80">
        <v>-3</v>
      </c>
      <c r="AQ18" s="80">
        <v>2</v>
      </c>
      <c r="AR18" s="80">
        <v>2</v>
      </c>
      <c r="AS18" s="80">
        <v>2</v>
      </c>
      <c r="AT18" s="80">
        <v>-1</v>
      </c>
      <c r="AU18" s="80">
        <v>-3</v>
      </c>
      <c r="AV18" s="80">
        <v>-2</v>
      </c>
      <c r="AW18" s="80">
        <v>-1</v>
      </c>
      <c r="AX18" s="80">
        <v>3</v>
      </c>
      <c r="AY18" s="80">
        <v>3</v>
      </c>
      <c r="AZ18" s="80">
        <v>2</v>
      </c>
      <c r="BA18" s="80">
        <v>-5</v>
      </c>
      <c r="BB18" s="79">
        <v>6</v>
      </c>
      <c r="BC18" s="80">
        <v>3</v>
      </c>
      <c r="BD18" s="80">
        <v>4</v>
      </c>
      <c r="BE18" s="80">
        <v>-2</v>
      </c>
      <c r="BF18" s="80">
        <v>0</v>
      </c>
    </row>
    <row r="19" spans="1:59" x14ac:dyDescent="0.2">
      <c r="A19" s="78" t="s">
        <v>974</v>
      </c>
      <c r="B19" s="80"/>
      <c r="C19" s="80">
        <v>-1</v>
      </c>
      <c r="D19" s="80">
        <v>1</v>
      </c>
      <c r="E19" s="80">
        <v>-2</v>
      </c>
      <c r="F19" s="80">
        <v>3</v>
      </c>
      <c r="G19" s="80">
        <v>2</v>
      </c>
      <c r="H19" s="78" t="s">
        <v>974</v>
      </c>
      <c r="I19" s="80"/>
      <c r="J19" s="80"/>
      <c r="K19" s="80"/>
      <c r="L19" s="80"/>
      <c r="M19" s="80">
        <v>1</v>
      </c>
      <c r="N19" s="80">
        <v>1</v>
      </c>
      <c r="O19" s="80">
        <v>1</v>
      </c>
      <c r="P19" s="80">
        <v>1</v>
      </c>
      <c r="Q19" s="80"/>
      <c r="R19" s="80"/>
      <c r="S19" s="80"/>
      <c r="T19" s="80"/>
      <c r="U19" s="80"/>
      <c r="V19" s="80"/>
      <c r="W19" s="80"/>
      <c r="X19" s="80"/>
      <c r="Y19" s="80"/>
      <c r="Z19" s="80"/>
      <c r="AA19" s="80"/>
      <c r="AB19" s="80"/>
      <c r="AC19" s="80"/>
      <c r="AD19" s="80"/>
      <c r="AJ19" s="80">
        <v>3</v>
      </c>
      <c r="AK19" s="80">
        <v>0</v>
      </c>
      <c r="AL19" s="79">
        <v>3</v>
      </c>
      <c r="AM19" s="79">
        <v>8</v>
      </c>
      <c r="AN19" s="80">
        <v>3</v>
      </c>
      <c r="AO19" s="80">
        <v>-3</v>
      </c>
      <c r="AP19" s="80">
        <v>-2</v>
      </c>
      <c r="AQ19" s="80">
        <v>1</v>
      </c>
      <c r="AR19" s="80">
        <v>1</v>
      </c>
      <c r="AS19" s="80">
        <v>1</v>
      </c>
      <c r="AT19" s="80">
        <v>-2</v>
      </c>
      <c r="AU19" s="80">
        <v>-2</v>
      </c>
      <c r="AV19" s="80">
        <v>-2</v>
      </c>
      <c r="AW19" s="80">
        <v>-1</v>
      </c>
      <c r="AX19" s="80">
        <v>2</v>
      </c>
      <c r="AY19" s="80">
        <v>2</v>
      </c>
      <c r="AZ19" s="80">
        <v>0</v>
      </c>
      <c r="BA19" s="80">
        <v>-4</v>
      </c>
      <c r="BB19" s="79">
        <v>6</v>
      </c>
      <c r="BC19" s="80">
        <v>2</v>
      </c>
      <c r="BD19" s="80">
        <v>2</v>
      </c>
      <c r="BE19" s="80">
        <v>-1</v>
      </c>
      <c r="BF19" s="80">
        <v>0</v>
      </c>
    </row>
    <row r="20" spans="1:59" x14ac:dyDescent="0.2">
      <c r="A20" s="78" t="s">
        <v>975</v>
      </c>
      <c r="B20" s="80">
        <v>1</v>
      </c>
      <c r="C20" s="80"/>
      <c r="D20" s="80"/>
      <c r="E20" s="80">
        <v>-1</v>
      </c>
      <c r="F20" s="80">
        <v>1</v>
      </c>
      <c r="G20" s="80">
        <v>1</v>
      </c>
      <c r="H20" s="78" t="s">
        <v>975</v>
      </c>
      <c r="I20" s="80"/>
      <c r="J20" s="80"/>
      <c r="K20" s="80"/>
      <c r="L20" s="80"/>
      <c r="M20" s="80">
        <v>1</v>
      </c>
      <c r="N20" s="80">
        <v>1</v>
      </c>
      <c r="O20" s="80">
        <v>1</v>
      </c>
      <c r="P20" s="80">
        <v>1</v>
      </c>
      <c r="Q20" s="80"/>
      <c r="R20" s="80"/>
      <c r="S20" s="80"/>
      <c r="T20" s="80"/>
      <c r="U20" s="80"/>
      <c r="V20" s="80"/>
      <c r="W20" s="80"/>
      <c r="X20" s="80"/>
      <c r="Y20" s="80"/>
      <c r="Z20" s="80"/>
      <c r="AA20" s="80"/>
      <c r="AB20" s="80"/>
      <c r="AC20" s="80"/>
      <c r="AD20" s="80"/>
      <c r="AJ20" s="80">
        <v>1</v>
      </c>
      <c r="AK20" s="80">
        <v>-1</v>
      </c>
      <c r="AL20" s="79">
        <v>2</v>
      </c>
      <c r="AM20" s="79">
        <v>8</v>
      </c>
      <c r="AN20" s="80">
        <v>1</v>
      </c>
      <c r="AO20" s="80">
        <v>-5</v>
      </c>
      <c r="AP20" s="80">
        <v>-4</v>
      </c>
      <c r="AQ20" s="80">
        <v>0</v>
      </c>
      <c r="AR20" s="80">
        <v>0</v>
      </c>
      <c r="AS20" s="80">
        <v>1</v>
      </c>
      <c r="AT20" s="80">
        <v>-2</v>
      </c>
      <c r="AU20" s="80">
        <v>-1</v>
      </c>
      <c r="AV20" s="80">
        <v>-3</v>
      </c>
      <c r="AW20" s="80">
        <v>-2</v>
      </c>
      <c r="AX20" s="80">
        <v>1</v>
      </c>
      <c r="AY20" s="80">
        <v>1</v>
      </c>
      <c r="AZ20" s="80">
        <v>-2</v>
      </c>
      <c r="BA20" s="80">
        <v>-2</v>
      </c>
      <c r="BB20" s="79">
        <v>6</v>
      </c>
      <c r="BC20" s="80">
        <v>0</v>
      </c>
      <c r="BD20" s="80">
        <v>0</v>
      </c>
      <c r="BE20" s="80">
        <v>-3</v>
      </c>
      <c r="BF20" s="80">
        <v>0</v>
      </c>
    </row>
    <row r="21" spans="1:59" x14ac:dyDescent="0.2">
      <c r="B21" s="80"/>
      <c r="C21" s="80"/>
      <c r="D21" s="80"/>
      <c r="E21" s="80"/>
      <c r="F21" s="80"/>
      <c r="G21" s="80"/>
      <c r="I21" s="80"/>
      <c r="J21" s="80"/>
      <c r="K21" s="80"/>
      <c r="L21" s="80"/>
      <c r="M21" s="80"/>
      <c r="N21" s="80"/>
      <c r="O21" s="80"/>
      <c r="P21" s="80"/>
      <c r="Q21" s="80"/>
      <c r="R21" s="80"/>
      <c r="S21" s="80"/>
      <c r="T21" s="80"/>
      <c r="U21" s="80"/>
      <c r="V21" s="80"/>
      <c r="W21" s="80"/>
      <c r="X21" s="80"/>
      <c r="Y21" s="80"/>
      <c r="Z21" s="80"/>
      <c r="AA21" s="80"/>
      <c r="AB21" s="80"/>
      <c r="AC21" s="80"/>
      <c r="AD21" s="80"/>
    </row>
    <row r="22" spans="1:59" x14ac:dyDescent="0.2">
      <c r="A22" s="78" t="s">
        <v>976</v>
      </c>
      <c r="B22" s="80">
        <v>-2</v>
      </c>
      <c r="C22" s="80">
        <v>-4</v>
      </c>
      <c r="D22" s="80">
        <v>-1</v>
      </c>
      <c r="E22" s="80">
        <v>-4</v>
      </c>
      <c r="F22" s="80">
        <v>-4</v>
      </c>
      <c r="G22" s="80">
        <v>-3</v>
      </c>
      <c r="H22" s="78" t="s">
        <v>976</v>
      </c>
      <c r="I22" s="80"/>
      <c r="J22" s="80"/>
      <c r="K22" s="80"/>
      <c r="L22" s="80"/>
      <c r="M22" s="80"/>
      <c r="N22" s="80"/>
      <c r="O22" s="80"/>
      <c r="P22" s="80"/>
      <c r="Q22" s="80"/>
      <c r="R22" s="80"/>
      <c r="S22" s="80"/>
      <c r="T22" s="80"/>
      <c r="U22" s="80"/>
      <c r="V22" s="80"/>
      <c r="W22" s="80"/>
      <c r="X22" s="80"/>
      <c r="Y22" s="80"/>
      <c r="Z22" s="80"/>
      <c r="AA22" s="80"/>
      <c r="AB22" s="80"/>
      <c r="AC22" s="80"/>
      <c r="AD22" s="80"/>
      <c r="AJ22" s="80">
        <v>3</v>
      </c>
      <c r="AK22" s="80">
        <v>3</v>
      </c>
      <c r="AL22" s="79">
        <v>4</v>
      </c>
      <c r="AM22" s="79">
        <v>10</v>
      </c>
      <c r="AN22" s="80">
        <v>4</v>
      </c>
      <c r="AO22" s="80">
        <v>0</v>
      </c>
      <c r="AP22" s="80">
        <v>-3</v>
      </c>
      <c r="AQ22" s="80">
        <v>1</v>
      </c>
      <c r="AR22" s="80">
        <v>1</v>
      </c>
      <c r="AS22" s="80">
        <v>-2</v>
      </c>
      <c r="AT22" s="80">
        <v>-1</v>
      </c>
      <c r="AU22" s="80">
        <v>-1</v>
      </c>
      <c r="AV22" s="80">
        <v>0</v>
      </c>
      <c r="AW22" s="80">
        <v>-3</v>
      </c>
      <c r="AX22" s="80">
        <v>-3</v>
      </c>
      <c r="AY22" s="80">
        <v>-3</v>
      </c>
      <c r="AZ22" s="80">
        <v>-3</v>
      </c>
      <c r="BA22" s="80">
        <v>-1</v>
      </c>
      <c r="BB22" s="79">
        <v>4</v>
      </c>
      <c r="BC22" s="78">
        <v>-3</v>
      </c>
      <c r="BD22" s="78">
        <v>3</v>
      </c>
      <c r="BE22" s="78">
        <v>0</v>
      </c>
      <c r="BF22" s="78">
        <v>0</v>
      </c>
      <c r="BG22" s="78" t="s">
        <v>977</v>
      </c>
    </row>
    <row r="23" spans="1:59" x14ac:dyDescent="0.2">
      <c r="B23" s="80"/>
      <c r="C23" s="80"/>
      <c r="D23" s="80"/>
      <c r="E23" s="80"/>
      <c r="F23" s="80"/>
      <c r="G23" s="80"/>
      <c r="I23" s="80"/>
      <c r="J23" s="80"/>
      <c r="K23" s="80"/>
      <c r="L23" s="80"/>
      <c r="M23" s="80"/>
      <c r="N23" s="80"/>
      <c r="O23" s="80"/>
      <c r="P23" s="80"/>
      <c r="Q23" s="80"/>
      <c r="R23" s="80"/>
      <c r="S23" s="80"/>
      <c r="T23" s="80"/>
      <c r="U23" s="80"/>
      <c r="V23" s="80"/>
      <c r="W23" s="80"/>
      <c r="X23" s="80"/>
      <c r="Y23" s="80"/>
      <c r="Z23" s="80"/>
      <c r="AA23" s="80"/>
      <c r="AB23" s="80"/>
      <c r="AC23" s="80"/>
      <c r="AD23" s="80"/>
      <c r="BC23" s="80"/>
      <c r="BD23" s="80"/>
      <c r="BE23" s="80"/>
      <c r="BF23" s="80"/>
    </row>
    <row r="24" spans="1:59" x14ac:dyDescent="0.2">
      <c r="A24" s="78" t="s">
        <v>978</v>
      </c>
      <c r="B24" s="80">
        <v>2</v>
      </c>
      <c r="C24" s="80">
        <v>1</v>
      </c>
      <c r="D24" s="80">
        <v>1</v>
      </c>
      <c r="E24" s="80"/>
      <c r="F24" s="80">
        <v>1</v>
      </c>
      <c r="G24" s="80">
        <v>2</v>
      </c>
      <c r="H24" s="78" t="s">
        <v>978</v>
      </c>
      <c r="I24" s="80">
        <v>0</v>
      </c>
      <c r="J24" s="80"/>
      <c r="K24" s="80"/>
      <c r="L24" s="80"/>
      <c r="M24" s="80"/>
      <c r="N24" s="80"/>
      <c r="O24" s="80"/>
      <c r="P24" s="80"/>
      <c r="Q24" s="80"/>
      <c r="R24" s="80"/>
      <c r="S24" s="80"/>
      <c r="T24" s="80"/>
      <c r="U24" s="80"/>
      <c r="V24" s="80"/>
      <c r="W24" s="80"/>
      <c r="X24" s="80">
        <v>1</v>
      </c>
      <c r="Y24" s="80"/>
      <c r="Z24" s="80"/>
      <c r="AA24" s="80"/>
      <c r="AB24" s="80">
        <v>2</v>
      </c>
      <c r="AC24" s="80"/>
      <c r="AD24" s="80"/>
      <c r="AJ24" s="80">
        <v>-2</v>
      </c>
      <c r="AK24" s="80">
        <v>4</v>
      </c>
      <c r="AL24" s="79">
        <v>6</v>
      </c>
      <c r="AM24" s="79">
        <v>8</v>
      </c>
      <c r="AN24" s="80">
        <v>-1</v>
      </c>
      <c r="AO24" s="80">
        <v>-5</v>
      </c>
      <c r="AP24" s="80">
        <v>1</v>
      </c>
      <c r="AQ24" s="80">
        <v>1</v>
      </c>
      <c r="AR24" s="80">
        <v>1</v>
      </c>
      <c r="AS24" s="80">
        <v>2</v>
      </c>
      <c r="AT24" s="80">
        <v>2</v>
      </c>
      <c r="AU24" s="80">
        <v>2</v>
      </c>
      <c r="AV24" s="80">
        <v>0</v>
      </c>
      <c r="AW24" s="80">
        <v>2</v>
      </c>
      <c r="AX24" s="80">
        <v>-2</v>
      </c>
      <c r="AY24" s="80">
        <v>-1</v>
      </c>
      <c r="AZ24" s="80">
        <v>-2</v>
      </c>
      <c r="BA24" s="80">
        <v>0</v>
      </c>
      <c r="BB24" s="79">
        <v>6</v>
      </c>
      <c r="BC24" s="80">
        <v>-4</v>
      </c>
      <c r="BD24" s="80">
        <v>-2</v>
      </c>
      <c r="BE24" s="80">
        <v>4</v>
      </c>
      <c r="BF24" s="80">
        <v>-5</v>
      </c>
    </row>
    <row r="25" spans="1:59" x14ac:dyDescent="0.2">
      <c r="A25" s="87" t="s">
        <v>95</v>
      </c>
      <c r="B25" s="85">
        <v>2</v>
      </c>
      <c r="C25" s="85">
        <v>2</v>
      </c>
      <c r="D25" s="85">
        <v>2</v>
      </c>
      <c r="E25" s="85">
        <v>-2</v>
      </c>
      <c r="F25" s="85">
        <v>1</v>
      </c>
      <c r="G25" s="85">
        <v>2</v>
      </c>
      <c r="H25" s="87" t="s">
        <v>95</v>
      </c>
      <c r="I25" s="85">
        <v>2</v>
      </c>
      <c r="J25" s="85"/>
      <c r="K25" s="85"/>
      <c r="L25" s="85">
        <v>1</v>
      </c>
      <c r="M25" s="85">
        <v>-1</v>
      </c>
      <c r="N25" s="85"/>
      <c r="O25" s="85"/>
      <c r="P25" s="85"/>
      <c r="Q25" s="85"/>
      <c r="R25" s="85"/>
      <c r="S25" s="85"/>
      <c r="T25" s="85"/>
      <c r="U25" s="85"/>
      <c r="V25" s="85"/>
      <c r="W25" s="85"/>
      <c r="X25" s="85">
        <v>2</v>
      </c>
      <c r="Y25" s="85">
        <v>-1</v>
      </c>
      <c r="Z25" s="85"/>
      <c r="AA25" s="85"/>
      <c r="AB25" s="85">
        <v>2</v>
      </c>
      <c r="AC25" s="85">
        <v>2</v>
      </c>
      <c r="AD25" s="85">
        <v>2</v>
      </c>
      <c r="AE25" s="87"/>
      <c r="AF25" s="87"/>
      <c r="AG25" s="87"/>
      <c r="AH25" s="87"/>
      <c r="AI25" s="87"/>
      <c r="AJ25" s="85">
        <v>-2</v>
      </c>
      <c r="AK25" s="85">
        <v>4</v>
      </c>
      <c r="AL25" s="86">
        <v>4</v>
      </c>
      <c r="AM25" s="86">
        <v>10</v>
      </c>
      <c r="AN25" s="85">
        <v>2</v>
      </c>
      <c r="AO25" s="85">
        <v>-4</v>
      </c>
      <c r="AP25" s="85">
        <v>-3</v>
      </c>
      <c r="AQ25" s="85">
        <v>1</v>
      </c>
      <c r="AR25" s="85">
        <v>1</v>
      </c>
      <c r="AS25" s="85">
        <v>2</v>
      </c>
      <c r="AT25" s="85">
        <v>2</v>
      </c>
      <c r="AU25" s="85">
        <v>2</v>
      </c>
      <c r="AV25" s="85">
        <v>0</v>
      </c>
      <c r="AW25" s="85">
        <v>1</v>
      </c>
      <c r="AX25" s="85">
        <v>1</v>
      </c>
      <c r="AY25" s="85">
        <v>0</v>
      </c>
      <c r="AZ25" s="85">
        <v>0</v>
      </c>
      <c r="BA25" s="85">
        <v>2</v>
      </c>
      <c r="BB25" s="86">
        <v>6</v>
      </c>
      <c r="BC25" s="85">
        <v>-3</v>
      </c>
      <c r="BD25" s="85">
        <v>1</v>
      </c>
      <c r="BE25" s="85">
        <v>-3</v>
      </c>
      <c r="BF25" s="85">
        <v>-5</v>
      </c>
    </row>
    <row r="26" spans="1:59" x14ac:dyDescent="0.2">
      <c r="A26" s="78" t="s">
        <v>979</v>
      </c>
      <c r="B26" s="80">
        <v>-1</v>
      </c>
      <c r="C26" s="80">
        <v>-3</v>
      </c>
      <c r="D26" s="80"/>
      <c r="E26" s="80">
        <v>-4</v>
      </c>
      <c r="F26" s="80">
        <v>-3</v>
      </c>
      <c r="G26" s="80">
        <v>-2</v>
      </c>
      <c r="H26" s="78" t="s">
        <v>979</v>
      </c>
      <c r="I26" s="80"/>
      <c r="J26" s="80"/>
      <c r="K26" s="80"/>
      <c r="L26" s="80"/>
      <c r="M26" s="80"/>
      <c r="N26" s="80"/>
      <c r="O26" s="80">
        <v>1</v>
      </c>
      <c r="P26" s="80"/>
      <c r="Q26" s="80"/>
      <c r="R26" s="80">
        <v>1</v>
      </c>
      <c r="S26" s="80"/>
      <c r="T26" s="80"/>
      <c r="U26" s="80"/>
      <c r="V26" s="80"/>
      <c r="W26" s="80"/>
      <c r="X26" s="80"/>
      <c r="Y26" s="80"/>
      <c r="Z26" s="80"/>
      <c r="AA26" s="80"/>
      <c r="AB26" s="80"/>
      <c r="AC26" s="80"/>
      <c r="AD26" s="80"/>
      <c r="AJ26" s="80">
        <v>3</v>
      </c>
      <c r="AK26" s="80">
        <v>-3</v>
      </c>
      <c r="AL26" s="79">
        <v>6</v>
      </c>
      <c r="AM26" s="79">
        <v>12</v>
      </c>
      <c r="AN26" s="80">
        <v>3</v>
      </c>
      <c r="AO26" s="80">
        <v>1</v>
      </c>
      <c r="AP26" s="80">
        <v>-5</v>
      </c>
      <c r="AQ26" s="80">
        <v>1</v>
      </c>
      <c r="AR26" s="80">
        <v>1</v>
      </c>
      <c r="AS26" s="80">
        <v>-2</v>
      </c>
      <c r="AT26" s="80">
        <v>-3</v>
      </c>
      <c r="AU26" s="80">
        <v>-4</v>
      </c>
      <c r="AV26" s="80">
        <v>0</v>
      </c>
      <c r="AW26" s="80">
        <v>-3</v>
      </c>
      <c r="AX26" s="80">
        <v>0</v>
      </c>
      <c r="AY26" s="80">
        <v>1</v>
      </c>
      <c r="AZ26" s="80">
        <v>-2</v>
      </c>
      <c r="BA26" s="80">
        <v>-3</v>
      </c>
      <c r="BB26" s="79">
        <v>4</v>
      </c>
      <c r="BC26" s="80">
        <v>1</v>
      </c>
      <c r="BD26" s="80">
        <f>AN26</f>
        <v>3</v>
      </c>
      <c r="BE26" s="80">
        <v>-4</v>
      </c>
      <c r="BF26" s="80">
        <v>0</v>
      </c>
      <c r="BG26" s="78" t="s">
        <v>980</v>
      </c>
    </row>
    <row r="27" spans="1:59" x14ac:dyDescent="0.2">
      <c r="A27" s="78" t="s">
        <v>981</v>
      </c>
      <c r="B27" s="80"/>
      <c r="C27" s="80">
        <v>-2</v>
      </c>
      <c r="D27" s="80">
        <v>1</v>
      </c>
      <c r="E27" s="80">
        <v>-3</v>
      </c>
      <c r="F27" s="80">
        <v>-1</v>
      </c>
      <c r="G27" s="80"/>
      <c r="H27" s="78" t="s">
        <v>981</v>
      </c>
      <c r="I27" s="80"/>
      <c r="J27" s="80"/>
      <c r="K27" s="80"/>
      <c r="L27" s="80"/>
      <c r="M27" s="80"/>
      <c r="N27" s="80"/>
      <c r="O27" s="80"/>
      <c r="P27" s="80"/>
      <c r="Q27" s="80"/>
      <c r="R27" s="80"/>
      <c r="S27" s="80"/>
      <c r="T27" s="80"/>
      <c r="U27" s="80"/>
      <c r="V27" s="80"/>
      <c r="W27" s="80"/>
      <c r="X27" s="80"/>
      <c r="Y27" s="80"/>
      <c r="Z27" s="80"/>
      <c r="AA27" s="80"/>
      <c r="AB27" s="80"/>
      <c r="AC27" s="80"/>
      <c r="AD27" s="80"/>
      <c r="AJ27" s="80">
        <v>1</v>
      </c>
      <c r="AK27" s="80">
        <v>-2</v>
      </c>
      <c r="AL27" s="79">
        <v>6</v>
      </c>
      <c r="AM27" s="79">
        <v>12</v>
      </c>
      <c r="AN27" s="80">
        <v>2</v>
      </c>
      <c r="AO27" s="80">
        <v>-2</v>
      </c>
      <c r="AP27" s="80">
        <v>-4</v>
      </c>
      <c r="AQ27" s="80">
        <v>0</v>
      </c>
      <c r="AR27" s="80">
        <v>0</v>
      </c>
      <c r="AS27" s="80">
        <v>-1</v>
      </c>
      <c r="AT27" s="80">
        <v>-1</v>
      </c>
      <c r="AU27" s="80">
        <v>-3</v>
      </c>
      <c r="AV27" s="80">
        <v>-1</v>
      </c>
      <c r="AW27" s="80">
        <v>-2</v>
      </c>
      <c r="AX27" s="80">
        <v>-2</v>
      </c>
      <c r="AY27" s="80">
        <v>-1</v>
      </c>
      <c r="AZ27" s="80">
        <v>-3</v>
      </c>
      <c r="BA27" s="80">
        <v>-2</v>
      </c>
      <c r="BB27" s="79">
        <v>4</v>
      </c>
      <c r="BC27" s="80">
        <v>-1</v>
      </c>
      <c r="BD27" s="80">
        <f>AN27</f>
        <v>2</v>
      </c>
      <c r="BE27" s="80">
        <v>-3</v>
      </c>
      <c r="BF27" s="80">
        <v>-3</v>
      </c>
      <c r="BG27" s="78" t="s">
        <v>982</v>
      </c>
    </row>
    <row r="28" spans="1:59" x14ac:dyDescent="0.2">
      <c r="A28" s="78" t="s">
        <v>983</v>
      </c>
      <c r="B28" s="80">
        <v>1</v>
      </c>
      <c r="C28" s="80">
        <v>-1</v>
      </c>
      <c r="D28" s="80">
        <v>-1</v>
      </c>
      <c r="E28" s="80">
        <v>-2</v>
      </c>
      <c r="F28" s="80">
        <v>-2</v>
      </c>
      <c r="G28" s="80">
        <v>1</v>
      </c>
      <c r="H28" s="78" t="s">
        <v>983</v>
      </c>
      <c r="I28" s="80"/>
      <c r="J28" s="80"/>
      <c r="K28" s="80"/>
      <c r="L28" s="80"/>
      <c r="M28" s="80"/>
      <c r="N28" s="80"/>
      <c r="O28" s="80"/>
      <c r="P28" s="80"/>
      <c r="Q28" s="80"/>
      <c r="R28" s="80"/>
      <c r="S28" s="80"/>
      <c r="T28" s="80"/>
      <c r="U28" s="80"/>
      <c r="V28" s="80"/>
      <c r="W28" s="80"/>
      <c r="X28" s="80"/>
      <c r="Y28" s="80"/>
      <c r="Z28" s="80"/>
      <c r="AA28" s="80"/>
      <c r="AB28" s="80"/>
      <c r="AC28" s="80"/>
      <c r="AD28" s="80"/>
      <c r="AJ28" s="80">
        <v>-3</v>
      </c>
      <c r="AK28" s="80">
        <v>-1</v>
      </c>
      <c r="AL28" s="79">
        <v>6</v>
      </c>
      <c r="AM28" s="79">
        <v>12</v>
      </c>
      <c r="AN28" s="80">
        <v>1</v>
      </c>
      <c r="AO28" s="80">
        <v>-5</v>
      </c>
      <c r="AP28" s="80">
        <v>-3</v>
      </c>
      <c r="AQ28" s="80">
        <v>-2</v>
      </c>
      <c r="AR28" s="80">
        <v>-1</v>
      </c>
      <c r="AS28" s="80">
        <v>0</v>
      </c>
      <c r="AT28" s="80">
        <v>1</v>
      </c>
      <c r="AU28" s="80">
        <v>-2</v>
      </c>
      <c r="AV28" s="80">
        <v>-2</v>
      </c>
      <c r="AW28" s="80">
        <v>-1</v>
      </c>
      <c r="AX28" s="80">
        <v>-4</v>
      </c>
      <c r="AY28" s="80">
        <v>-3</v>
      </c>
      <c r="AZ28" s="80">
        <v>-4</v>
      </c>
      <c r="BA28" s="80">
        <v>-1</v>
      </c>
      <c r="BB28" s="79">
        <v>4</v>
      </c>
      <c r="BC28" s="80">
        <v>-4</v>
      </c>
      <c r="BD28" s="80">
        <f>AN28</f>
        <v>1</v>
      </c>
      <c r="BE28" s="80">
        <v>-2</v>
      </c>
      <c r="BF28" s="80">
        <v>-5</v>
      </c>
      <c r="BG28" s="78" t="s">
        <v>984</v>
      </c>
    </row>
    <row r="29" spans="1:59" x14ac:dyDescent="0.2">
      <c r="B29" s="80"/>
      <c r="C29" s="80"/>
      <c r="D29" s="80"/>
      <c r="E29" s="80"/>
      <c r="F29" s="80"/>
      <c r="G29" s="80"/>
      <c r="I29" s="80"/>
      <c r="J29" s="80"/>
      <c r="K29" s="80"/>
      <c r="L29" s="80"/>
      <c r="M29" s="80"/>
      <c r="N29" s="80"/>
      <c r="O29" s="80"/>
      <c r="P29" s="80"/>
      <c r="Q29" s="80"/>
      <c r="R29" s="80"/>
      <c r="S29" s="80"/>
      <c r="T29" s="80"/>
      <c r="U29" s="80"/>
      <c r="V29" s="80"/>
      <c r="W29" s="80"/>
      <c r="X29" s="80"/>
      <c r="Y29" s="80"/>
      <c r="Z29" s="80"/>
      <c r="AA29" s="80"/>
      <c r="AB29" s="80"/>
      <c r="AC29" s="80"/>
      <c r="AD29" s="80"/>
      <c r="BC29" s="80"/>
      <c r="BD29" s="80"/>
      <c r="BE29" s="80"/>
      <c r="BF29" s="80"/>
    </row>
    <row r="30" spans="1:59" x14ac:dyDescent="0.2">
      <c r="A30" s="78" t="s">
        <v>219</v>
      </c>
      <c r="B30" s="80">
        <v>1</v>
      </c>
      <c r="C30" s="80">
        <v>-2</v>
      </c>
      <c r="D30" s="80">
        <v>-2</v>
      </c>
      <c r="E30" s="80">
        <v>-5</v>
      </c>
      <c r="F30" s="80">
        <v>-2</v>
      </c>
      <c r="G30" s="80"/>
      <c r="H30" s="78" t="s">
        <v>219</v>
      </c>
      <c r="I30" s="80"/>
      <c r="J30" s="80"/>
      <c r="K30" s="80"/>
      <c r="L30" s="80"/>
      <c r="M30" s="80"/>
      <c r="N30" s="80"/>
      <c r="O30" s="80"/>
      <c r="P30" s="80"/>
      <c r="Q30" s="80"/>
      <c r="R30" s="80"/>
      <c r="S30" s="80"/>
      <c r="T30" s="80">
        <v>1</v>
      </c>
      <c r="U30" s="80">
        <v>1</v>
      </c>
      <c r="V30" s="80"/>
      <c r="W30" s="80"/>
      <c r="X30" s="80"/>
      <c r="Y30" s="80"/>
      <c r="Z30" s="80"/>
      <c r="AA30" s="80"/>
      <c r="AB30" s="80"/>
      <c r="AC30" s="80"/>
      <c r="AD30" s="80"/>
      <c r="AJ30" s="80">
        <v>1</v>
      </c>
      <c r="AK30" s="80">
        <v>-1</v>
      </c>
      <c r="AL30" s="79">
        <v>4</v>
      </c>
      <c r="AM30" s="79">
        <v>10</v>
      </c>
      <c r="AN30" s="80">
        <v>2</v>
      </c>
      <c r="AO30" s="80">
        <v>0</v>
      </c>
      <c r="AP30" s="80" t="s">
        <v>687</v>
      </c>
      <c r="AQ30" s="80">
        <v>-2</v>
      </c>
      <c r="AR30" s="80">
        <v>-1</v>
      </c>
      <c r="AS30" s="80">
        <v>-2</v>
      </c>
      <c r="AT30" s="80">
        <v>2</v>
      </c>
      <c r="AU30" s="80">
        <v>-4</v>
      </c>
      <c r="AV30" s="80">
        <v>0</v>
      </c>
      <c r="AW30" s="80">
        <v>-3</v>
      </c>
      <c r="AX30" s="80">
        <v>-2</v>
      </c>
      <c r="AY30" s="80">
        <v>-4</v>
      </c>
      <c r="AZ30" s="80">
        <v>-3</v>
      </c>
      <c r="BA30" s="80">
        <v>-6</v>
      </c>
      <c r="BB30" s="79">
        <v>4</v>
      </c>
      <c r="BC30" s="80">
        <v>-1</v>
      </c>
      <c r="BD30" s="80">
        <v>1</v>
      </c>
      <c r="BE30" s="80" t="s">
        <v>664</v>
      </c>
      <c r="BF30" s="80">
        <v>-1</v>
      </c>
    </row>
    <row r="31" spans="1:59" x14ac:dyDescent="0.2">
      <c r="A31" s="84" t="s">
        <v>985</v>
      </c>
      <c r="B31" s="81">
        <v>0</v>
      </c>
      <c r="C31" s="81">
        <v>-1</v>
      </c>
      <c r="D31" s="81">
        <v>-1</v>
      </c>
      <c r="E31" s="81">
        <v>-6</v>
      </c>
      <c r="F31" s="81">
        <v>-1</v>
      </c>
      <c r="G31" s="81"/>
      <c r="H31" s="84" t="str">
        <f>A31</f>
        <v>Uruk-Hai</v>
      </c>
      <c r="I31" s="81"/>
      <c r="J31" s="81"/>
      <c r="K31" s="81"/>
      <c r="L31" s="81"/>
      <c r="M31" s="81"/>
      <c r="N31" s="81"/>
      <c r="O31" s="81"/>
      <c r="P31" s="81"/>
      <c r="Q31" s="81"/>
      <c r="R31" s="81"/>
      <c r="S31" s="81"/>
      <c r="T31" s="81">
        <v>1</v>
      </c>
      <c r="U31" s="81">
        <v>1</v>
      </c>
      <c r="V31" s="81"/>
      <c r="W31" s="81"/>
      <c r="X31" s="81"/>
      <c r="Y31" s="81"/>
      <c r="Z31" s="81"/>
      <c r="AA31" s="81"/>
      <c r="AB31" s="81"/>
      <c r="AC31" s="81"/>
      <c r="AD31" s="81"/>
      <c r="AE31" s="84"/>
      <c r="AF31" s="84"/>
      <c r="AG31" s="84"/>
      <c r="AH31" s="84"/>
      <c r="AI31" s="84"/>
      <c r="AJ31" s="81">
        <v>2</v>
      </c>
      <c r="AK31" s="81">
        <v>0</v>
      </c>
      <c r="AL31" s="83">
        <v>4</v>
      </c>
      <c r="AM31" s="83">
        <v>10</v>
      </c>
      <c r="AN31" s="81">
        <v>3</v>
      </c>
      <c r="AO31" s="81">
        <v>2</v>
      </c>
      <c r="AP31" s="82" t="s">
        <v>687</v>
      </c>
      <c r="AQ31" s="81">
        <v>-1</v>
      </c>
      <c r="AR31" s="81">
        <v>0</v>
      </c>
      <c r="AS31" s="81">
        <v>-1</v>
      </c>
      <c r="AT31" s="81">
        <v>3</v>
      </c>
      <c r="AU31" s="81">
        <v>-3</v>
      </c>
      <c r="AV31" s="81">
        <v>1</v>
      </c>
      <c r="AW31" s="81">
        <v>-2</v>
      </c>
      <c r="AX31" s="81">
        <v>-1</v>
      </c>
      <c r="AY31" s="81">
        <v>-2</v>
      </c>
      <c r="AZ31" s="81">
        <v>-1</v>
      </c>
      <c r="BA31" s="81">
        <v>-5</v>
      </c>
      <c r="BB31" s="83">
        <v>4</v>
      </c>
      <c r="BC31" s="81">
        <v>-2</v>
      </c>
      <c r="BD31" s="81">
        <v>1</v>
      </c>
      <c r="BE31" s="82" t="s">
        <v>664</v>
      </c>
      <c r="BF31" s="81">
        <v>-1</v>
      </c>
      <c r="BG31" s="78" t="s">
        <v>986</v>
      </c>
    </row>
    <row r="32" spans="1:59" x14ac:dyDescent="0.2">
      <c r="B32" s="80"/>
      <c r="C32" s="80"/>
      <c r="D32" s="80"/>
      <c r="E32" s="80"/>
      <c r="F32" s="80"/>
      <c r="G32" s="80"/>
      <c r="I32" s="80"/>
      <c r="J32" s="80"/>
      <c r="K32" s="80"/>
      <c r="L32" s="80"/>
      <c r="M32" s="80"/>
      <c r="N32" s="80"/>
      <c r="O32" s="80"/>
      <c r="P32" s="80"/>
      <c r="Q32" s="80"/>
      <c r="R32" s="80"/>
      <c r="S32" s="80"/>
      <c r="T32" s="80"/>
      <c r="U32" s="80"/>
      <c r="V32" s="80"/>
      <c r="W32" s="80"/>
      <c r="X32" s="80"/>
      <c r="Y32" s="80"/>
      <c r="Z32" s="80"/>
      <c r="AA32" s="80"/>
      <c r="AB32" s="80"/>
      <c r="AC32" s="80"/>
      <c r="AD32" s="80"/>
    </row>
    <row r="33" spans="1:58" x14ac:dyDescent="0.2">
      <c r="A33" s="78" t="s">
        <v>987</v>
      </c>
      <c r="B33" s="80">
        <v>1</v>
      </c>
      <c r="C33" s="80"/>
      <c r="D33" s="80">
        <v>2</v>
      </c>
      <c r="E33" s="80">
        <v>-3</v>
      </c>
      <c r="F33" s="80">
        <v>-4</v>
      </c>
      <c r="G33" s="80">
        <v>1</v>
      </c>
      <c r="H33" s="78" t="s">
        <v>987</v>
      </c>
      <c r="I33" s="80">
        <v>-1</v>
      </c>
      <c r="J33" s="80">
        <v>-1</v>
      </c>
      <c r="K33" s="80"/>
      <c r="L33" s="80">
        <v>-1</v>
      </c>
      <c r="M33" s="80">
        <v>-1</v>
      </c>
      <c r="N33" s="80">
        <v>-1</v>
      </c>
      <c r="O33" s="80">
        <v>-1</v>
      </c>
      <c r="P33" s="80">
        <v>-1</v>
      </c>
      <c r="Q33" s="80">
        <v>-1</v>
      </c>
      <c r="R33" s="80">
        <v>-1</v>
      </c>
      <c r="S33" s="80">
        <v>-1</v>
      </c>
      <c r="T33" s="80">
        <v>1</v>
      </c>
      <c r="U33" s="80">
        <v>-1</v>
      </c>
      <c r="V33" s="80">
        <v>-1</v>
      </c>
      <c r="W33" s="80">
        <v>-1</v>
      </c>
      <c r="X33" s="80">
        <v>-1</v>
      </c>
      <c r="Y33" s="80">
        <v>-1</v>
      </c>
      <c r="Z33" s="80">
        <v>-1</v>
      </c>
      <c r="AA33" s="80">
        <v>-1</v>
      </c>
      <c r="AB33" s="80">
        <v>-1</v>
      </c>
      <c r="AC33" s="80">
        <v>-1</v>
      </c>
      <c r="AD33" s="80"/>
      <c r="AE33" s="80">
        <v>-1</v>
      </c>
      <c r="AF33" s="80">
        <v>1</v>
      </c>
      <c r="AG33" s="80">
        <v>1</v>
      </c>
      <c r="AH33" s="80">
        <v>-1</v>
      </c>
      <c r="AJ33" s="80">
        <v>1</v>
      </c>
      <c r="AK33" s="80">
        <v>2</v>
      </c>
      <c r="AL33" s="79">
        <v>4</v>
      </c>
      <c r="AM33" s="79">
        <v>10</v>
      </c>
      <c r="AN33" s="80">
        <v>-1</v>
      </c>
      <c r="AO33" s="80">
        <v>-1</v>
      </c>
      <c r="AP33" s="80">
        <v>1</v>
      </c>
      <c r="AQ33" s="80">
        <v>-1</v>
      </c>
      <c r="AR33" s="80">
        <v>2</v>
      </c>
      <c r="AS33" s="80">
        <v>1</v>
      </c>
      <c r="AT33" s="80">
        <v>2</v>
      </c>
      <c r="AU33" s="80">
        <v>1</v>
      </c>
      <c r="AV33" s="80">
        <v>-2</v>
      </c>
      <c r="AW33" s="80">
        <v>1</v>
      </c>
      <c r="AX33" s="80">
        <v>1</v>
      </c>
      <c r="AY33" s="80">
        <v>-2</v>
      </c>
      <c r="AZ33" s="80">
        <v>-3</v>
      </c>
      <c r="BA33" s="80">
        <v>4</v>
      </c>
      <c r="BB33" s="79">
        <v>6</v>
      </c>
      <c r="BC33" s="80">
        <v>-2</v>
      </c>
      <c r="BD33" s="80">
        <f>AN33</f>
        <v>-1</v>
      </c>
      <c r="BE33" s="80">
        <v>4</v>
      </c>
      <c r="BF33" s="80">
        <v>-2</v>
      </c>
    </row>
    <row r="34" spans="1:58" x14ac:dyDescent="0.2">
      <c r="A34" s="78" t="s">
        <v>988</v>
      </c>
      <c r="B34" s="80">
        <v>2</v>
      </c>
      <c r="C34" s="80">
        <v>-1</v>
      </c>
      <c r="D34" s="80"/>
      <c r="E34" s="80">
        <v>-6</v>
      </c>
      <c r="F34" s="80">
        <v>-3</v>
      </c>
      <c r="G34" s="80">
        <v>1</v>
      </c>
      <c r="H34" s="78" t="s">
        <v>988</v>
      </c>
      <c r="I34" s="80"/>
      <c r="J34" s="80"/>
      <c r="K34" s="80"/>
      <c r="L34" s="80"/>
      <c r="M34" s="80"/>
      <c r="N34" s="80"/>
      <c r="O34" s="80"/>
      <c r="P34" s="80"/>
      <c r="Q34" s="80"/>
      <c r="R34" s="80"/>
      <c r="S34" s="80"/>
      <c r="T34" s="80">
        <v>1</v>
      </c>
      <c r="U34" s="80"/>
      <c r="V34" s="80"/>
      <c r="W34" s="80"/>
      <c r="X34" s="80"/>
      <c r="Y34" s="80"/>
      <c r="Z34" s="80">
        <v>1</v>
      </c>
      <c r="AA34" s="80">
        <v>1</v>
      </c>
      <c r="AB34" s="80"/>
      <c r="AC34" s="80"/>
      <c r="AD34" s="80"/>
      <c r="AE34" s="80">
        <v>1</v>
      </c>
      <c r="AJ34" s="80">
        <v>2</v>
      </c>
      <c r="AK34" s="80">
        <v>0</v>
      </c>
      <c r="AL34" s="79">
        <v>6</v>
      </c>
      <c r="AM34" s="79">
        <v>10</v>
      </c>
      <c r="AN34" s="80">
        <v>1</v>
      </c>
      <c r="AO34" s="80">
        <v>1</v>
      </c>
      <c r="AP34" s="80" t="s">
        <v>655</v>
      </c>
      <c r="AQ34" s="80">
        <v>-4</v>
      </c>
      <c r="AR34" s="80">
        <v>1</v>
      </c>
      <c r="AS34" s="80">
        <v>0</v>
      </c>
      <c r="AT34" s="80">
        <v>3</v>
      </c>
      <c r="AU34" s="80">
        <v>-1</v>
      </c>
      <c r="AV34" s="80">
        <v>2</v>
      </c>
      <c r="AW34" s="80">
        <v>-2</v>
      </c>
      <c r="AX34" s="80">
        <v>-1</v>
      </c>
      <c r="AY34" s="80">
        <v>-3</v>
      </c>
      <c r="AZ34" s="80">
        <v>-2</v>
      </c>
      <c r="BA34" s="80">
        <v>-4</v>
      </c>
      <c r="BB34" s="79">
        <v>4</v>
      </c>
      <c r="BC34" s="80">
        <v>0</v>
      </c>
      <c r="BD34" s="80">
        <v>0</v>
      </c>
      <c r="BE34" s="80" t="s">
        <v>687</v>
      </c>
      <c r="BF34" s="80">
        <v>0</v>
      </c>
    </row>
  </sheetData>
  <sheetProtection algorithmName="SHA-512" hashValue="o51R/brbbfseeBOSlEuMX5aNhVw1EKPlgTqwgcj25QQu4eHYDfsd3JU9GMBsNP1WOlXB/AMHv9XmliHxF0H29Q==" saltValue="q+qhjPjLa8bho+sIxvGK3w==" spinCount="100000" sheet="1" objects="1" scenarios="1"/>
  <printOptions gridLines="1" gridLinesSet="0"/>
  <pageMargins left="0.75" right="0.75" top="1" bottom="1" header="0.5" footer="0.5"/>
  <pageSetup paperSize="9" orientation="portrait" horizontalDpi="300" verticalDpi="0" r:id="rId1"/>
  <headerFooter alignWithMargins="0">
    <oddHeader>&amp;A</oddHeader>
    <oddFooter>Page &amp;P</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963FD-6DB0-468E-A45C-F9D656B139FC}">
  <sheetPr>
    <tabColor theme="1" tint="4.9989318521683403E-2"/>
  </sheetPr>
  <dimension ref="A1:AA26"/>
  <sheetViews>
    <sheetView zoomScaleNormal="100" workbookViewId="0"/>
  </sheetViews>
  <sheetFormatPr defaultColWidth="9" defaultRowHeight="12.75" x14ac:dyDescent="0.2"/>
  <cols>
    <col min="1" max="1" width="9" style="88" customWidth="1"/>
    <col min="2" max="16384" width="9" style="78"/>
  </cols>
  <sheetData>
    <row r="1" spans="1:27" s="203" customFormat="1" ht="15.75" x14ac:dyDescent="0.25">
      <c r="A1" s="202" t="s">
        <v>989</v>
      </c>
    </row>
    <row r="3" spans="1:27" x14ac:dyDescent="0.2">
      <c r="B3" s="88" t="s">
        <v>990</v>
      </c>
    </row>
    <row r="4" spans="1:27" x14ac:dyDescent="0.2">
      <c r="A4" s="88" t="s">
        <v>991</v>
      </c>
    </row>
    <row r="5" spans="1:27" x14ac:dyDescent="0.2">
      <c r="B5" s="88">
        <v>0</v>
      </c>
      <c r="C5" s="88">
        <v>1</v>
      </c>
      <c r="D5" s="88">
        <v>2</v>
      </c>
      <c r="E5" s="88">
        <v>3</v>
      </c>
      <c r="F5" s="88">
        <v>4</v>
      </c>
      <c r="G5" s="88">
        <v>5</v>
      </c>
      <c r="H5" s="88">
        <v>6</v>
      </c>
      <c r="I5" s="88">
        <v>7</v>
      </c>
      <c r="J5" s="88">
        <v>8</v>
      </c>
      <c r="K5" s="88">
        <v>9</v>
      </c>
      <c r="L5" s="88">
        <v>10</v>
      </c>
      <c r="M5" s="88">
        <v>11</v>
      </c>
      <c r="N5" s="88">
        <v>12</v>
      </c>
      <c r="O5" s="88">
        <v>13</v>
      </c>
      <c r="P5" s="88">
        <v>14</v>
      </c>
      <c r="Q5" s="88">
        <v>15</v>
      </c>
      <c r="R5" s="88">
        <v>16</v>
      </c>
      <c r="S5" s="88">
        <v>17</v>
      </c>
      <c r="T5" s="88">
        <v>18</v>
      </c>
      <c r="U5" s="88">
        <v>19</v>
      </c>
      <c r="V5" s="88">
        <v>20</v>
      </c>
      <c r="W5" s="88">
        <v>21</v>
      </c>
      <c r="X5" s="88">
        <v>22</v>
      </c>
      <c r="Y5" s="88">
        <v>23</v>
      </c>
      <c r="Z5" s="88">
        <v>24</v>
      </c>
      <c r="AA5" s="88">
        <v>25</v>
      </c>
    </row>
    <row r="6" spans="1:27" x14ac:dyDescent="0.2">
      <c r="A6" s="88">
        <v>0</v>
      </c>
      <c r="B6" s="78">
        <v>0</v>
      </c>
      <c r="C6" s="78">
        <v>0</v>
      </c>
      <c r="D6" s="78">
        <v>0</v>
      </c>
      <c r="E6" s="78">
        <v>1</v>
      </c>
      <c r="F6" s="78">
        <v>1</v>
      </c>
      <c r="G6" s="78">
        <v>1</v>
      </c>
      <c r="H6" s="78">
        <v>1</v>
      </c>
      <c r="I6" s="78">
        <v>2</v>
      </c>
      <c r="J6" s="78">
        <v>2</v>
      </c>
      <c r="K6" s="78">
        <v>2</v>
      </c>
      <c r="L6" s="78">
        <v>2</v>
      </c>
      <c r="M6" s="78">
        <v>2</v>
      </c>
      <c r="N6" s="78">
        <v>3</v>
      </c>
      <c r="O6" s="78">
        <v>3</v>
      </c>
      <c r="P6" s="78">
        <v>3</v>
      </c>
      <c r="Q6" s="78">
        <v>3</v>
      </c>
      <c r="R6" s="78">
        <v>3</v>
      </c>
      <c r="S6" s="78">
        <v>3</v>
      </c>
      <c r="T6" s="78">
        <v>4</v>
      </c>
      <c r="U6" s="78">
        <v>4</v>
      </c>
      <c r="V6" s="78">
        <v>4</v>
      </c>
      <c r="W6" s="78">
        <v>4</v>
      </c>
      <c r="X6" s="78">
        <v>4</v>
      </c>
      <c r="Y6" s="78">
        <v>4</v>
      </c>
      <c r="Z6" s="78">
        <v>4</v>
      </c>
      <c r="AA6" s="78">
        <v>5</v>
      </c>
    </row>
    <row r="7" spans="1:27" x14ac:dyDescent="0.2">
      <c r="A7" s="88">
        <v>1</v>
      </c>
      <c r="B7" s="78">
        <v>-1</v>
      </c>
      <c r="C7" s="78">
        <v>0</v>
      </c>
      <c r="D7" s="78">
        <v>0</v>
      </c>
      <c r="E7" s="78">
        <v>0</v>
      </c>
      <c r="F7" s="78">
        <v>1</v>
      </c>
      <c r="G7" s="78">
        <v>1</v>
      </c>
      <c r="H7" s="78">
        <v>1</v>
      </c>
      <c r="I7" s="78">
        <v>1</v>
      </c>
      <c r="J7" s="78">
        <v>2</v>
      </c>
      <c r="K7" s="78">
        <v>2</v>
      </c>
      <c r="L7" s="78">
        <v>2</v>
      </c>
      <c r="M7" s="78">
        <v>2</v>
      </c>
      <c r="N7" s="78">
        <v>2</v>
      </c>
      <c r="O7" s="78">
        <v>3</v>
      </c>
      <c r="P7" s="78">
        <v>3</v>
      </c>
      <c r="Q7" s="78">
        <v>3</v>
      </c>
      <c r="R7" s="78">
        <v>3</v>
      </c>
      <c r="S7" s="78">
        <v>3</v>
      </c>
      <c r="T7" s="78">
        <v>3</v>
      </c>
      <c r="U7" s="78">
        <v>4</v>
      </c>
      <c r="V7" s="78">
        <v>4</v>
      </c>
      <c r="W7" s="78">
        <v>4</v>
      </c>
      <c r="X7" s="78">
        <v>4</v>
      </c>
      <c r="Y7" s="78">
        <v>4</v>
      </c>
      <c r="Z7" s="78">
        <v>4</v>
      </c>
      <c r="AA7" s="78">
        <v>4</v>
      </c>
    </row>
    <row r="8" spans="1:27" x14ac:dyDescent="0.2">
      <c r="A8" s="88">
        <v>2</v>
      </c>
      <c r="B8" s="78">
        <v>-2</v>
      </c>
      <c r="C8" s="78">
        <v>-1</v>
      </c>
      <c r="D8" s="78">
        <v>0</v>
      </c>
      <c r="E8" s="78">
        <v>0</v>
      </c>
      <c r="F8" s="78">
        <v>0</v>
      </c>
      <c r="G8" s="78">
        <v>1</v>
      </c>
      <c r="H8" s="78">
        <v>1</v>
      </c>
      <c r="I8" s="78">
        <v>1</v>
      </c>
      <c r="J8" s="78">
        <v>1</v>
      </c>
      <c r="K8" s="78">
        <v>2</v>
      </c>
      <c r="L8" s="78">
        <v>2</v>
      </c>
      <c r="M8" s="78">
        <v>2</v>
      </c>
      <c r="N8" s="78">
        <v>2</v>
      </c>
      <c r="O8" s="78">
        <v>2</v>
      </c>
      <c r="P8" s="78">
        <v>3</v>
      </c>
      <c r="Q8" s="78">
        <v>3</v>
      </c>
      <c r="R8" s="78">
        <v>3</v>
      </c>
      <c r="S8" s="78">
        <v>3</v>
      </c>
      <c r="T8" s="78">
        <v>3</v>
      </c>
      <c r="U8" s="78">
        <v>3</v>
      </c>
      <c r="V8" s="78">
        <v>4</v>
      </c>
      <c r="W8" s="78">
        <v>4</v>
      </c>
      <c r="X8" s="78">
        <v>4</v>
      </c>
      <c r="Y8" s="78">
        <v>4</v>
      </c>
      <c r="Z8" s="78">
        <v>4</v>
      </c>
      <c r="AA8" s="78">
        <v>4</v>
      </c>
    </row>
    <row r="9" spans="1:27" x14ac:dyDescent="0.2">
      <c r="A9" s="88">
        <v>3</v>
      </c>
      <c r="B9" s="78">
        <v>-3</v>
      </c>
      <c r="C9" s="78">
        <v>-2</v>
      </c>
      <c r="D9" s="78">
        <v>-1</v>
      </c>
      <c r="E9" s="78">
        <v>0</v>
      </c>
      <c r="F9" s="78">
        <v>0</v>
      </c>
      <c r="G9" s="78">
        <v>0</v>
      </c>
      <c r="H9" s="78">
        <v>1</v>
      </c>
      <c r="I9" s="78">
        <v>1</v>
      </c>
      <c r="J9" s="78">
        <v>1</v>
      </c>
      <c r="K9" s="78">
        <v>1</v>
      </c>
      <c r="L9" s="78">
        <v>2</v>
      </c>
      <c r="M9" s="78">
        <v>2</v>
      </c>
      <c r="N9" s="78">
        <v>2</v>
      </c>
      <c r="O9" s="78">
        <v>2</v>
      </c>
      <c r="P9" s="78">
        <v>2</v>
      </c>
      <c r="Q9" s="78">
        <v>3</v>
      </c>
      <c r="R9" s="78">
        <v>3</v>
      </c>
      <c r="S9" s="78">
        <v>3</v>
      </c>
      <c r="T9" s="78">
        <v>3</v>
      </c>
      <c r="U9" s="78">
        <v>3</v>
      </c>
      <c r="V9" s="78">
        <v>3</v>
      </c>
      <c r="W9" s="78">
        <v>4</v>
      </c>
      <c r="X9" s="78">
        <v>4</v>
      </c>
      <c r="Y9" s="78">
        <v>4</v>
      </c>
      <c r="Z9" s="78">
        <v>4</v>
      </c>
      <c r="AA9" s="78">
        <v>4</v>
      </c>
    </row>
    <row r="10" spans="1:27" x14ac:dyDescent="0.2">
      <c r="A10" s="88">
        <v>4</v>
      </c>
      <c r="B10" s="78">
        <v>-4</v>
      </c>
      <c r="C10" s="78">
        <v>-3</v>
      </c>
      <c r="D10" s="78">
        <v>-2</v>
      </c>
      <c r="E10" s="78">
        <v>-1</v>
      </c>
      <c r="F10" s="78">
        <v>0</v>
      </c>
      <c r="G10" s="78">
        <v>0</v>
      </c>
      <c r="H10" s="78">
        <v>0</v>
      </c>
      <c r="I10" s="78">
        <v>1</v>
      </c>
      <c r="J10" s="78">
        <v>1</v>
      </c>
      <c r="K10" s="78">
        <v>1</v>
      </c>
      <c r="L10" s="78">
        <v>1</v>
      </c>
      <c r="M10" s="78">
        <v>2</v>
      </c>
      <c r="N10" s="78">
        <v>2</v>
      </c>
      <c r="O10" s="78">
        <v>2</v>
      </c>
      <c r="P10" s="78">
        <v>2</v>
      </c>
      <c r="Q10" s="78">
        <v>2</v>
      </c>
      <c r="R10" s="78">
        <v>3</v>
      </c>
      <c r="S10" s="78">
        <v>3</v>
      </c>
      <c r="T10" s="78">
        <v>3</v>
      </c>
      <c r="U10" s="78">
        <v>3</v>
      </c>
      <c r="V10" s="78">
        <v>3</v>
      </c>
      <c r="W10" s="78">
        <v>3</v>
      </c>
      <c r="X10" s="78">
        <v>4</v>
      </c>
      <c r="Y10" s="78">
        <v>4</v>
      </c>
      <c r="Z10" s="78">
        <v>4</v>
      </c>
      <c r="AA10" s="78">
        <v>4</v>
      </c>
    </row>
    <row r="11" spans="1:27" x14ac:dyDescent="0.2">
      <c r="A11" s="88">
        <v>5</v>
      </c>
      <c r="B11" s="78">
        <v>-5</v>
      </c>
      <c r="C11" s="78">
        <v>-4</v>
      </c>
      <c r="D11" s="78">
        <v>-3</v>
      </c>
      <c r="E11" s="78">
        <v>-2</v>
      </c>
      <c r="F11" s="78">
        <v>-1</v>
      </c>
      <c r="G11" s="78">
        <v>0</v>
      </c>
      <c r="H11" s="78">
        <v>0</v>
      </c>
      <c r="I11" s="78">
        <v>0</v>
      </c>
      <c r="J11" s="78">
        <v>1</v>
      </c>
      <c r="K11" s="78">
        <v>1</v>
      </c>
      <c r="L11" s="78">
        <v>1</v>
      </c>
      <c r="M11" s="78">
        <v>1</v>
      </c>
      <c r="N11" s="78">
        <v>2</v>
      </c>
      <c r="O11" s="78">
        <v>2</v>
      </c>
      <c r="P11" s="78">
        <v>2</v>
      </c>
      <c r="Q11" s="78">
        <v>2</v>
      </c>
      <c r="R11" s="78">
        <v>2</v>
      </c>
      <c r="S11" s="78">
        <v>3</v>
      </c>
      <c r="T11" s="78">
        <v>3</v>
      </c>
      <c r="U11" s="78">
        <v>3</v>
      </c>
      <c r="V11" s="78">
        <v>3</v>
      </c>
      <c r="W11" s="78">
        <v>3</v>
      </c>
      <c r="X11" s="78">
        <v>3</v>
      </c>
      <c r="Y11" s="78">
        <v>4</v>
      </c>
      <c r="Z11" s="78">
        <v>4</v>
      </c>
      <c r="AA11" s="78">
        <v>4</v>
      </c>
    </row>
    <row r="12" spans="1:27" x14ac:dyDescent="0.2">
      <c r="A12" s="88">
        <v>6</v>
      </c>
      <c r="B12" s="78">
        <v>-6</v>
      </c>
      <c r="C12" s="78">
        <v>-5</v>
      </c>
      <c r="D12" s="78">
        <v>-4</v>
      </c>
      <c r="E12" s="78">
        <v>-3</v>
      </c>
      <c r="F12" s="78">
        <v>-2</v>
      </c>
      <c r="G12" s="78">
        <v>-1</v>
      </c>
      <c r="H12" s="78">
        <v>0</v>
      </c>
      <c r="I12" s="78">
        <v>0</v>
      </c>
      <c r="J12" s="78">
        <v>0</v>
      </c>
      <c r="K12" s="78">
        <v>1</v>
      </c>
      <c r="L12" s="78">
        <v>1</v>
      </c>
      <c r="M12" s="78">
        <v>1</v>
      </c>
      <c r="N12" s="78">
        <v>1</v>
      </c>
      <c r="O12" s="78">
        <v>2</v>
      </c>
      <c r="P12" s="78">
        <v>2</v>
      </c>
      <c r="Q12" s="78">
        <v>2</v>
      </c>
      <c r="R12" s="78">
        <v>2</v>
      </c>
      <c r="S12" s="78">
        <v>2</v>
      </c>
      <c r="T12" s="78">
        <v>3</v>
      </c>
      <c r="U12" s="78">
        <v>3</v>
      </c>
      <c r="V12" s="78">
        <v>3</v>
      </c>
      <c r="W12" s="78">
        <v>3</v>
      </c>
      <c r="X12" s="78">
        <v>3</v>
      </c>
      <c r="Y12" s="78">
        <v>3</v>
      </c>
      <c r="Z12" s="78">
        <v>4</v>
      </c>
      <c r="AA12" s="78">
        <v>4</v>
      </c>
    </row>
    <row r="13" spans="1:27" x14ac:dyDescent="0.2">
      <c r="A13" s="88">
        <v>7</v>
      </c>
      <c r="B13" s="78">
        <v>-7</v>
      </c>
      <c r="C13" s="78">
        <v>-6</v>
      </c>
      <c r="D13" s="78">
        <v>-5</v>
      </c>
      <c r="E13" s="78">
        <v>-4</v>
      </c>
      <c r="F13" s="78">
        <v>-3</v>
      </c>
      <c r="G13" s="78">
        <v>-2</v>
      </c>
      <c r="H13" s="78">
        <v>-1</v>
      </c>
      <c r="I13" s="78">
        <v>0</v>
      </c>
      <c r="J13" s="78">
        <v>0</v>
      </c>
      <c r="K13" s="78">
        <v>0</v>
      </c>
      <c r="L13" s="78">
        <v>1</v>
      </c>
      <c r="M13" s="78">
        <v>1</v>
      </c>
      <c r="N13" s="78">
        <v>1</v>
      </c>
      <c r="O13" s="78">
        <v>1</v>
      </c>
      <c r="P13" s="78">
        <v>2</v>
      </c>
      <c r="Q13" s="78">
        <v>2</v>
      </c>
      <c r="R13" s="78">
        <v>2</v>
      </c>
      <c r="S13" s="78">
        <v>2</v>
      </c>
      <c r="T13" s="78">
        <v>2</v>
      </c>
      <c r="U13" s="78">
        <v>3</v>
      </c>
      <c r="V13" s="78">
        <v>3</v>
      </c>
      <c r="W13" s="78">
        <v>3</v>
      </c>
      <c r="X13" s="78">
        <v>3</v>
      </c>
      <c r="Y13" s="78">
        <v>3</v>
      </c>
      <c r="Z13" s="78">
        <v>3</v>
      </c>
      <c r="AA13" s="78">
        <v>4</v>
      </c>
    </row>
    <row r="14" spans="1:27" x14ac:dyDescent="0.2">
      <c r="A14" s="88">
        <v>8</v>
      </c>
      <c r="B14" s="78">
        <v>-8</v>
      </c>
      <c r="C14" s="78">
        <v>-7</v>
      </c>
      <c r="D14" s="78">
        <v>-6</v>
      </c>
      <c r="E14" s="78">
        <v>-5</v>
      </c>
      <c r="F14" s="78">
        <v>-4</v>
      </c>
      <c r="G14" s="78">
        <v>-3</v>
      </c>
      <c r="H14" s="78">
        <v>-2</v>
      </c>
      <c r="I14" s="78">
        <v>-1</v>
      </c>
      <c r="J14" s="78">
        <v>0</v>
      </c>
      <c r="K14" s="78">
        <v>0</v>
      </c>
      <c r="L14" s="78">
        <v>0</v>
      </c>
      <c r="M14" s="78">
        <v>1</v>
      </c>
      <c r="N14" s="78">
        <v>1</v>
      </c>
      <c r="O14" s="78">
        <v>1</v>
      </c>
      <c r="P14" s="78">
        <v>1</v>
      </c>
      <c r="Q14" s="78">
        <v>2</v>
      </c>
      <c r="R14" s="78">
        <v>2</v>
      </c>
      <c r="S14" s="78">
        <v>2</v>
      </c>
      <c r="T14" s="78">
        <v>2</v>
      </c>
      <c r="U14" s="78">
        <v>2</v>
      </c>
      <c r="V14" s="78">
        <v>3</v>
      </c>
      <c r="W14" s="78">
        <v>3</v>
      </c>
      <c r="X14" s="78">
        <v>3</v>
      </c>
      <c r="Y14" s="78">
        <v>3</v>
      </c>
      <c r="Z14" s="78">
        <v>3</v>
      </c>
      <c r="AA14" s="78">
        <v>3</v>
      </c>
    </row>
    <row r="15" spans="1:27" x14ac:dyDescent="0.2">
      <c r="A15" s="88">
        <v>9</v>
      </c>
      <c r="B15" s="78">
        <v>-9</v>
      </c>
      <c r="C15" s="78">
        <v>-8</v>
      </c>
      <c r="D15" s="78">
        <v>-7</v>
      </c>
      <c r="E15" s="78">
        <v>-6</v>
      </c>
      <c r="F15" s="78">
        <v>-5</v>
      </c>
      <c r="G15" s="78">
        <v>-4</v>
      </c>
      <c r="H15" s="78">
        <v>-3</v>
      </c>
      <c r="I15" s="78">
        <v>-2</v>
      </c>
      <c r="J15" s="78">
        <v>-1</v>
      </c>
      <c r="K15" s="78">
        <v>0</v>
      </c>
      <c r="L15" s="78">
        <v>0</v>
      </c>
      <c r="M15" s="78">
        <v>0</v>
      </c>
      <c r="N15" s="78">
        <v>1</v>
      </c>
      <c r="O15" s="78">
        <v>1</v>
      </c>
      <c r="P15" s="78">
        <v>1</v>
      </c>
      <c r="Q15" s="78">
        <v>1</v>
      </c>
      <c r="R15" s="78">
        <v>2</v>
      </c>
      <c r="S15" s="78">
        <v>2</v>
      </c>
      <c r="T15" s="78">
        <v>2</v>
      </c>
      <c r="U15" s="78">
        <v>2</v>
      </c>
      <c r="V15" s="78">
        <v>2</v>
      </c>
      <c r="W15" s="78">
        <v>3</v>
      </c>
      <c r="X15" s="78">
        <v>3</v>
      </c>
      <c r="Y15" s="78">
        <v>3</v>
      </c>
      <c r="Z15" s="78">
        <v>3</v>
      </c>
      <c r="AA15" s="78">
        <v>3</v>
      </c>
    </row>
    <row r="16" spans="1:27" x14ac:dyDescent="0.2">
      <c r="A16" s="88">
        <v>10</v>
      </c>
      <c r="B16" s="78">
        <v>-10</v>
      </c>
      <c r="C16" s="78">
        <v>-9</v>
      </c>
      <c r="D16" s="78">
        <v>-8</v>
      </c>
      <c r="E16" s="78">
        <v>-7</v>
      </c>
      <c r="F16" s="78">
        <v>-6</v>
      </c>
      <c r="G16" s="78">
        <v>-5</v>
      </c>
      <c r="H16" s="78">
        <v>-4</v>
      </c>
      <c r="I16" s="78">
        <v>-3</v>
      </c>
      <c r="J16" s="78">
        <v>-2</v>
      </c>
      <c r="K16" s="78">
        <v>-1</v>
      </c>
      <c r="L16" s="78">
        <v>0</v>
      </c>
      <c r="M16" s="78">
        <v>0</v>
      </c>
      <c r="N16" s="78">
        <v>0</v>
      </c>
      <c r="O16" s="78">
        <v>1</v>
      </c>
      <c r="P16" s="78">
        <v>1</v>
      </c>
      <c r="Q16" s="78">
        <v>1</v>
      </c>
      <c r="R16" s="78">
        <v>1</v>
      </c>
      <c r="S16" s="78">
        <v>2</v>
      </c>
      <c r="T16" s="78">
        <v>2</v>
      </c>
      <c r="U16" s="78">
        <v>2</v>
      </c>
      <c r="V16" s="78">
        <v>2</v>
      </c>
      <c r="W16" s="78">
        <v>2</v>
      </c>
      <c r="X16" s="78">
        <v>3</v>
      </c>
      <c r="Y16" s="78">
        <v>3</v>
      </c>
      <c r="Z16" s="78">
        <v>3</v>
      </c>
      <c r="AA16" s="78">
        <v>3</v>
      </c>
    </row>
    <row r="17" spans="1:27" x14ac:dyDescent="0.2">
      <c r="A17" s="88">
        <v>11</v>
      </c>
      <c r="B17" s="78">
        <v>-11</v>
      </c>
      <c r="C17" s="78">
        <v>-10</v>
      </c>
      <c r="D17" s="78">
        <v>-9</v>
      </c>
      <c r="E17" s="78">
        <v>-8</v>
      </c>
      <c r="F17" s="78">
        <v>-7</v>
      </c>
      <c r="G17" s="78">
        <v>-6</v>
      </c>
      <c r="H17" s="78">
        <v>-5</v>
      </c>
      <c r="I17" s="78">
        <v>-4</v>
      </c>
      <c r="J17" s="78">
        <v>-3</v>
      </c>
      <c r="K17" s="78">
        <v>-2</v>
      </c>
      <c r="L17" s="78">
        <v>-1</v>
      </c>
      <c r="M17" s="78">
        <v>0</v>
      </c>
      <c r="N17" s="78">
        <v>0</v>
      </c>
      <c r="O17" s="78">
        <v>0</v>
      </c>
      <c r="P17" s="78">
        <v>1</v>
      </c>
      <c r="Q17" s="78">
        <v>1</v>
      </c>
      <c r="R17" s="78">
        <v>1</v>
      </c>
      <c r="S17" s="78">
        <v>1</v>
      </c>
      <c r="T17" s="78">
        <v>2</v>
      </c>
      <c r="U17" s="78">
        <v>2</v>
      </c>
      <c r="V17" s="78">
        <v>2</v>
      </c>
      <c r="W17" s="78">
        <v>2</v>
      </c>
      <c r="X17" s="78">
        <v>2</v>
      </c>
      <c r="Y17" s="78">
        <v>3</v>
      </c>
      <c r="Z17" s="78">
        <v>3</v>
      </c>
      <c r="AA17" s="78">
        <v>3</v>
      </c>
    </row>
    <row r="18" spans="1:27" x14ac:dyDescent="0.2">
      <c r="A18" s="88">
        <v>12</v>
      </c>
      <c r="B18" s="78">
        <v>-12</v>
      </c>
      <c r="C18" s="78">
        <v>-11</v>
      </c>
      <c r="D18" s="78">
        <v>-10</v>
      </c>
      <c r="E18" s="78">
        <v>-9</v>
      </c>
      <c r="F18" s="78">
        <v>-8</v>
      </c>
      <c r="G18" s="78">
        <v>-7</v>
      </c>
      <c r="H18" s="78">
        <v>-6</v>
      </c>
      <c r="I18" s="78">
        <v>-5</v>
      </c>
      <c r="J18" s="78">
        <v>-4</v>
      </c>
      <c r="K18" s="78">
        <v>-3</v>
      </c>
      <c r="L18" s="78">
        <v>-2</v>
      </c>
      <c r="M18" s="78">
        <v>-1</v>
      </c>
      <c r="N18" s="78">
        <v>0</v>
      </c>
      <c r="O18" s="78">
        <v>0</v>
      </c>
      <c r="P18" s="78">
        <v>0</v>
      </c>
      <c r="Q18" s="78">
        <v>1</v>
      </c>
      <c r="R18" s="78">
        <v>1</v>
      </c>
      <c r="S18" s="78">
        <v>1</v>
      </c>
      <c r="T18" s="78">
        <v>1</v>
      </c>
      <c r="U18" s="78">
        <v>2</v>
      </c>
      <c r="V18" s="78">
        <v>2</v>
      </c>
      <c r="W18" s="78">
        <v>2</v>
      </c>
      <c r="X18" s="78">
        <v>2</v>
      </c>
      <c r="Y18" s="78">
        <v>2</v>
      </c>
      <c r="Z18" s="78">
        <v>3</v>
      </c>
      <c r="AA18" s="78">
        <v>3</v>
      </c>
    </row>
    <row r="19" spans="1:27" x14ac:dyDescent="0.2">
      <c r="A19" s="88">
        <v>13</v>
      </c>
      <c r="B19" s="78">
        <v>-13</v>
      </c>
      <c r="C19" s="78">
        <v>-12</v>
      </c>
      <c r="D19" s="78">
        <v>-11</v>
      </c>
      <c r="E19" s="78">
        <v>-10</v>
      </c>
      <c r="F19" s="78">
        <v>-9</v>
      </c>
      <c r="G19" s="78">
        <v>-8</v>
      </c>
      <c r="H19" s="78">
        <v>-7</v>
      </c>
      <c r="I19" s="78">
        <v>-6</v>
      </c>
      <c r="J19" s="78">
        <v>-5</v>
      </c>
      <c r="K19" s="78">
        <v>-4</v>
      </c>
      <c r="L19" s="78">
        <v>-3</v>
      </c>
      <c r="M19" s="78">
        <v>-2</v>
      </c>
      <c r="N19" s="78">
        <v>-1</v>
      </c>
      <c r="O19" s="78">
        <v>0</v>
      </c>
      <c r="P19" s="78">
        <v>0</v>
      </c>
      <c r="Q19" s="78">
        <v>0</v>
      </c>
      <c r="R19" s="78">
        <v>1</v>
      </c>
      <c r="S19" s="78">
        <v>1</v>
      </c>
      <c r="T19" s="78">
        <v>1</v>
      </c>
      <c r="U19" s="78">
        <v>1</v>
      </c>
      <c r="V19" s="78">
        <v>2</v>
      </c>
      <c r="W19" s="78">
        <v>2</v>
      </c>
      <c r="X19" s="78">
        <v>2</v>
      </c>
      <c r="Y19" s="78">
        <v>2</v>
      </c>
      <c r="Z19" s="78">
        <v>2</v>
      </c>
      <c r="AA19" s="78">
        <v>3</v>
      </c>
    </row>
    <row r="20" spans="1:27" x14ac:dyDescent="0.2">
      <c r="A20" s="88">
        <v>14</v>
      </c>
      <c r="B20" s="78">
        <v>-14</v>
      </c>
      <c r="C20" s="78">
        <v>-13</v>
      </c>
      <c r="D20" s="78">
        <v>-12</v>
      </c>
      <c r="E20" s="78">
        <v>-11</v>
      </c>
      <c r="F20" s="78">
        <v>-10</v>
      </c>
      <c r="G20" s="78">
        <v>-9</v>
      </c>
      <c r="H20" s="78">
        <v>-8</v>
      </c>
      <c r="I20" s="78">
        <v>-7</v>
      </c>
      <c r="J20" s="78">
        <v>-6</v>
      </c>
      <c r="K20" s="78">
        <v>-5</v>
      </c>
      <c r="L20" s="78">
        <v>-4</v>
      </c>
      <c r="M20" s="78">
        <v>-3</v>
      </c>
      <c r="N20" s="78">
        <v>-2</v>
      </c>
      <c r="O20" s="78">
        <v>-1</v>
      </c>
      <c r="P20" s="78">
        <v>0</v>
      </c>
      <c r="Q20" s="78">
        <v>0</v>
      </c>
      <c r="R20" s="78">
        <v>0</v>
      </c>
      <c r="S20" s="78">
        <v>1</v>
      </c>
      <c r="T20" s="78">
        <v>1</v>
      </c>
      <c r="U20" s="78">
        <v>1</v>
      </c>
      <c r="V20" s="78">
        <v>1</v>
      </c>
      <c r="W20" s="78">
        <v>2</v>
      </c>
      <c r="X20" s="78">
        <v>2</v>
      </c>
      <c r="Y20" s="78">
        <v>2</v>
      </c>
      <c r="Z20" s="78">
        <v>2</v>
      </c>
      <c r="AA20" s="78">
        <v>2</v>
      </c>
    </row>
    <row r="21" spans="1:27" x14ac:dyDescent="0.2">
      <c r="A21" s="88">
        <v>15</v>
      </c>
      <c r="B21" s="78">
        <v>-15</v>
      </c>
      <c r="C21" s="78">
        <v>-14</v>
      </c>
      <c r="D21" s="78">
        <v>-13</v>
      </c>
      <c r="E21" s="78">
        <v>-12</v>
      </c>
      <c r="F21" s="78">
        <v>-11</v>
      </c>
      <c r="G21" s="78">
        <v>-10</v>
      </c>
      <c r="H21" s="78">
        <v>-9</v>
      </c>
      <c r="I21" s="78">
        <v>-8</v>
      </c>
      <c r="J21" s="78">
        <v>-7</v>
      </c>
      <c r="K21" s="78">
        <v>-6</v>
      </c>
      <c r="L21" s="78">
        <v>-5</v>
      </c>
      <c r="M21" s="78">
        <v>-4</v>
      </c>
      <c r="N21" s="78">
        <v>-3</v>
      </c>
      <c r="O21" s="78">
        <v>-2</v>
      </c>
      <c r="P21" s="78">
        <v>-1</v>
      </c>
      <c r="Q21" s="78">
        <v>0</v>
      </c>
      <c r="R21" s="78">
        <v>0</v>
      </c>
      <c r="S21" s="78">
        <v>0</v>
      </c>
      <c r="T21" s="78">
        <v>1</v>
      </c>
      <c r="U21" s="78">
        <v>1</v>
      </c>
      <c r="V21" s="78">
        <v>1</v>
      </c>
      <c r="W21" s="78">
        <v>1</v>
      </c>
      <c r="X21" s="78">
        <v>2</v>
      </c>
      <c r="Y21" s="78">
        <v>2</v>
      </c>
      <c r="Z21" s="78">
        <v>2</v>
      </c>
      <c r="AA21" s="78">
        <v>2</v>
      </c>
    </row>
    <row r="22" spans="1:27" x14ac:dyDescent="0.2">
      <c r="A22" s="88">
        <v>16</v>
      </c>
      <c r="B22" s="78">
        <v>-16</v>
      </c>
      <c r="C22" s="78">
        <v>-15</v>
      </c>
      <c r="D22" s="78">
        <v>-14</v>
      </c>
      <c r="E22" s="78">
        <v>-13</v>
      </c>
      <c r="F22" s="78">
        <v>-12</v>
      </c>
      <c r="G22" s="78">
        <v>-11</v>
      </c>
      <c r="H22" s="78">
        <v>-10</v>
      </c>
      <c r="I22" s="78">
        <v>-9</v>
      </c>
      <c r="J22" s="78">
        <v>-8</v>
      </c>
      <c r="K22" s="78">
        <v>-7</v>
      </c>
      <c r="L22" s="78">
        <v>-6</v>
      </c>
      <c r="M22" s="78">
        <v>-5</v>
      </c>
      <c r="N22" s="78">
        <v>-4</v>
      </c>
      <c r="O22" s="78">
        <v>-3</v>
      </c>
      <c r="P22" s="78">
        <v>-2</v>
      </c>
      <c r="Q22" s="78">
        <v>-1</v>
      </c>
      <c r="R22" s="78">
        <v>0</v>
      </c>
      <c r="S22" s="78">
        <v>0</v>
      </c>
      <c r="T22" s="78">
        <v>0</v>
      </c>
      <c r="U22" s="78">
        <v>1</v>
      </c>
      <c r="V22" s="78">
        <v>1</v>
      </c>
      <c r="W22" s="78">
        <v>1</v>
      </c>
      <c r="X22" s="78">
        <v>1</v>
      </c>
      <c r="Y22" s="78">
        <v>2</v>
      </c>
      <c r="Z22" s="78">
        <v>2</v>
      </c>
      <c r="AA22" s="78">
        <v>2</v>
      </c>
    </row>
    <row r="23" spans="1:27" x14ac:dyDescent="0.2">
      <c r="A23" s="88">
        <v>17</v>
      </c>
      <c r="B23" s="78">
        <v>-17</v>
      </c>
      <c r="C23" s="78">
        <v>-16</v>
      </c>
      <c r="D23" s="78">
        <v>-15</v>
      </c>
      <c r="E23" s="78">
        <v>-14</v>
      </c>
      <c r="F23" s="78">
        <v>-13</v>
      </c>
      <c r="G23" s="78">
        <v>-12</v>
      </c>
      <c r="H23" s="78">
        <v>-11</v>
      </c>
      <c r="I23" s="78">
        <v>-10</v>
      </c>
      <c r="J23" s="78">
        <v>-9</v>
      </c>
      <c r="K23" s="78">
        <v>-8</v>
      </c>
      <c r="L23" s="78">
        <v>-7</v>
      </c>
      <c r="M23" s="78">
        <v>-6</v>
      </c>
      <c r="N23" s="78">
        <v>-5</v>
      </c>
      <c r="O23" s="78">
        <v>-4</v>
      </c>
      <c r="P23" s="78">
        <v>-3</v>
      </c>
      <c r="Q23" s="78">
        <v>-2</v>
      </c>
      <c r="R23" s="78">
        <v>-1</v>
      </c>
      <c r="S23" s="78">
        <v>0</v>
      </c>
      <c r="T23" s="78">
        <v>0</v>
      </c>
      <c r="U23" s="78">
        <v>0</v>
      </c>
      <c r="V23" s="78">
        <v>1</v>
      </c>
      <c r="W23" s="78">
        <v>1</v>
      </c>
      <c r="X23" s="78">
        <v>1</v>
      </c>
      <c r="Y23" s="78">
        <v>1</v>
      </c>
      <c r="Z23" s="78">
        <v>2</v>
      </c>
      <c r="AA23" s="78">
        <v>2</v>
      </c>
    </row>
    <row r="24" spans="1:27" x14ac:dyDescent="0.2">
      <c r="A24" s="88">
        <v>18</v>
      </c>
      <c r="B24" s="78">
        <v>-18</v>
      </c>
      <c r="C24" s="78">
        <v>-17</v>
      </c>
      <c r="D24" s="78">
        <v>-16</v>
      </c>
      <c r="E24" s="78">
        <v>-15</v>
      </c>
      <c r="F24" s="78">
        <v>-14</v>
      </c>
      <c r="G24" s="78">
        <v>-13</v>
      </c>
      <c r="H24" s="78">
        <v>-12</v>
      </c>
      <c r="I24" s="78">
        <v>-11</v>
      </c>
      <c r="J24" s="78">
        <v>-10</v>
      </c>
      <c r="K24" s="78">
        <v>-9</v>
      </c>
      <c r="L24" s="78">
        <v>-8</v>
      </c>
      <c r="M24" s="78">
        <v>-7</v>
      </c>
      <c r="N24" s="78">
        <v>-6</v>
      </c>
      <c r="O24" s="78">
        <v>-5</v>
      </c>
      <c r="P24" s="78">
        <v>-4</v>
      </c>
      <c r="Q24" s="78">
        <v>-3</v>
      </c>
      <c r="R24" s="78">
        <v>-2</v>
      </c>
      <c r="S24" s="78">
        <v>-1</v>
      </c>
      <c r="T24" s="78">
        <v>0</v>
      </c>
      <c r="U24" s="78">
        <v>0</v>
      </c>
      <c r="V24" s="78">
        <v>0</v>
      </c>
      <c r="W24" s="78">
        <v>1</v>
      </c>
      <c r="X24" s="78">
        <v>1</v>
      </c>
      <c r="Y24" s="78">
        <v>1</v>
      </c>
      <c r="Z24" s="78">
        <v>1</v>
      </c>
      <c r="AA24" s="78">
        <v>2</v>
      </c>
    </row>
    <row r="25" spans="1:27" x14ac:dyDescent="0.2">
      <c r="A25" s="88">
        <v>19</v>
      </c>
      <c r="B25" s="78">
        <v>-19</v>
      </c>
      <c r="C25" s="78">
        <v>-18</v>
      </c>
      <c r="D25" s="78">
        <v>-17</v>
      </c>
      <c r="E25" s="78">
        <v>-16</v>
      </c>
      <c r="F25" s="78">
        <v>-15</v>
      </c>
      <c r="G25" s="78">
        <v>-14</v>
      </c>
      <c r="H25" s="78">
        <v>-13</v>
      </c>
      <c r="I25" s="78">
        <v>-12</v>
      </c>
      <c r="J25" s="78">
        <v>-11</v>
      </c>
      <c r="K25" s="78">
        <v>-10</v>
      </c>
      <c r="L25" s="78">
        <v>-9</v>
      </c>
      <c r="M25" s="78">
        <v>-8</v>
      </c>
      <c r="N25" s="78">
        <v>-7</v>
      </c>
      <c r="O25" s="78">
        <v>-6</v>
      </c>
      <c r="P25" s="78">
        <v>-5</v>
      </c>
      <c r="Q25" s="78">
        <v>-4</v>
      </c>
      <c r="R25" s="78">
        <v>-3</v>
      </c>
      <c r="S25" s="78">
        <v>-2</v>
      </c>
      <c r="T25" s="78">
        <v>-1</v>
      </c>
      <c r="U25" s="78">
        <v>0</v>
      </c>
      <c r="V25" s="78">
        <v>0</v>
      </c>
      <c r="W25" s="78">
        <v>0</v>
      </c>
      <c r="X25" s="78">
        <v>1</v>
      </c>
      <c r="Y25" s="78">
        <v>1</v>
      </c>
      <c r="Z25" s="78">
        <v>1</v>
      </c>
      <c r="AA25" s="78">
        <v>1</v>
      </c>
    </row>
    <row r="26" spans="1:27" x14ac:dyDescent="0.2">
      <c r="A26" s="88">
        <v>20</v>
      </c>
      <c r="B26" s="78">
        <v>-20</v>
      </c>
      <c r="C26" s="78">
        <v>-19</v>
      </c>
      <c r="D26" s="78">
        <v>-18</v>
      </c>
      <c r="E26" s="78">
        <v>-17</v>
      </c>
      <c r="F26" s="78">
        <v>-16</v>
      </c>
      <c r="G26" s="78">
        <v>-15</v>
      </c>
      <c r="H26" s="78">
        <v>-14</v>
      </c>
      <c r="I26" s="78">
        <v>-13</v>
      </c>
      <c r="J26" s="78">
        <v>-12</v>
      </c>
      <c r="K26" s="78">
        <v>-11</v>
      </c>
      <c r="L26" s="78">
        <v>-10</v>
      </c>
      <c r="M26" s="78">
        <v>-9</v>
      </c>
      <c r="N26" s="78">
        <v>-8</v>
      </c>
      <c r="O26" s="78">
        <v>-7</v>
      </c>
      <c r="P26" s="78">
        <v>-6</v>
      </c>
      <c r="Q26" s="78">
        <v>-5</v>
      </c>
      <c r="R26" s="78">
        <v>-4</v>
      </c>
      <c r="S26" s="78">
        <v>-3</v>
      </c>
      <c r="T26" s="78">
        <v>-2</v>
      </c>
      <c r="U26" s="78">
        <v>-1</v>
      </c>
      <c r="V26" s="78">
        <v>0</v>
      </c>
      <c r="W26" s="78">
        <v>0</v>
      </c>
      <c r="X26" s="78">
        <v>0</v>
      </c>
      <c r="Y26" s="78">
        <v>1</v>
      </c>
      <c r="Z26" s="78">
        <v>1</v>
      </c>
      <c r="AA26" s="78">
        <v>1</v>
      </c>
    </row>
  </sheetData>
  <sheetProtection algorithmName="SHA-512" hashValue="RCVxSB+DbVOCnY0/TLSAytEtNzrOcZFtsjBfRZJrEbuc/8sfpPA+k6/ew0G8yyMJ+Xb+jDsoyY8SeVQkOsk+gg==" saltValue="D+7C/nTh9tqMbfIewdCnIw==" spinCount="100000" sheet="1" objects="1" scenarios="1"/>
  <printOptions gridLines="1" gridLinesSet="0"/>
  <pageMargins left="0.75" right="0.75" top="1" bottom="1" header="0.5" footer="0.5"/>
  <headerFooter alignWithMargins="0">
    <oddHeader>&amp;A</oddHeader>
    <oddFooter>Page &amp;P</oddFooter>
  </headerFooter>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71763-4235-4AEC-B303-5F715A70E347}">
  <dimension ref="A1:Z22"/>
  <sheetViews>
    <sheetView workbookViewId="0"/>
  </sheetViews>
  <sheetFormatPr defaultRowHeight="15.75" x14ac:dyDescent="0.25"/>
  <sheetData>
    <row r="1" spans="1:26" x14ac:dyDescent="0.25">
      <c r="A1" s="3" t="str">
        <f>Name</f>
        <v>Name</v>
      </c>
      <c r="D1" s="7" t="s">
        <v>45</v>
      </c>
      <c r="E1" t="str">
        <f>Date</f>
        <v>26 XIV 2505</v>
      </c>
      <c r="J1" s="20"/>
      <c r="K1" s="20"/>
      <c r="L1" s="20"/>
      <c r="M1" s="20"/>
      <c r="N1" s="20"/>
      <c r="O1" s="20"/>
      <c r="P1" s="20"/>
      <c r="Q1" s="20"/>
      <c r="R1" s="20"/>
      <c r="S1" s="20"/>
      <c r="T1" s="20"/>
      <c r="U1" s="20"/>
      <c r="V1" s="20"/>
      <c r="W1" s="20"/>
      <c r="X1" s="20"/>
      <c r="Y1" s="20"/>
      <c r="Z1" s="20"/>
    </row>
    <row r="2" spans="1:26" x14ac:dyDescent="0.25">
      <c r="J2" s="20"/>
      <c r="K2" s="20"/>
      <c r="L2" s="20"/>
      <c r="M2" s="20"/>
      <c r="N2" s="20"/>
      <c r="O2" s="20"/>
      <c r="P2" s="20"/>
      <c r="Q2" s="20"/>
      <c r="R2" s="20"/>
      <c r="S2" s="20"/>
      <c r="T2" s="20"/>
      <c r="U2" s="20"/>
      <c r="V2" s="20"/>
      <c r="W2" s="20"/>
      <c r="X2" s="20"/>
      <c r="Y2" s="20"/>
      <c r="Z2" s="20"/>
    </row>
    <row r="3" spans="1:26" x14ac:dyDescent="0.25">
      <c r="A3" s="2" t="s">
        <v>103</v>
      </c>
      <c r="J3" s="20"/>
      <c r="K3" s="20"/>
      <c r="L3" s="20"/>
      <c r="M3" s="20"/>
      <c r="N3" s="20"/>
      <c r="O3" s="20"/>
      <c r="P3" s="20"/>
      <c r="Q3" s="20"/>
      <c r="R3" s="20"/>
      <c r="S3" s="20"/>
      <c r="T3" s="20"/>
      <c r="U3" s="20"/>
      <c r="V3" s="20"/>
      <c r="W3" s="20"/>
      <c r="X3" s="20"/>
      <c r="Y3" s="20"/>
      <c r="Z3" s="20"/>
    </row>
    <row r="4" spans="1:26" x14ac:dyDescent="0.25">
      <c r="A4" s="24"/>
      <c r="B4" s="24"/>
      <c r="C4" s="24"/>
      <c r="D4" s="24"/>
      <c r="E4" s="24"/>
      <c r="F4" s="24"/>
      <c r="G4" s="24"/>
      <c r="H4" s="24"/>
      <c r="I4" s="24"/>
      <c r="J4" s="20"/>
      <c r="K4" s="20"/>
      <c r="L4" s="20"/>
      <c r="M4" s="20"/>
      <c r="N4" s="20"/>
      <c r="O4" s="20"/>
      <c r="P4" s="20"/>
      <c r="Q4" s="20"/>
      <c r="R4" s="20"/>
      <c r="S4" s="20"/>
      <c r="T4" s="20"/>
      <c r="U4" s="20"/>
      <c r="V4" s="20"/>
      <c r="W4" s="20"/>
      <c r="X4" s="20"/>
      <c r="Y4" s="20"/>
      <c r="Z4" s="20"/>
    </row>
    <row r="5" spans="1:26" x14ac:dyDescent="0.25">
      <c r="A5" s="24"/>
      <c r="B5" s="24"/>
      <c r="C5" s="24"/>
      <c r="D5" s="24"/>
      <c r="E5" s="24"/>
      <c r="F5" s="24"/>
      <c r="G5" s="24"/>
      <c r="H5" s="24"/>
      <c r="I5" s="24"/>
      <c r="J5" s="20"/>
      <c r="K5" s="20"/>
      <c r="L5" s="20"/>
      <c r="M5" s="20"/>
      <c r="N5" s="20"/>
      <c r="O5" s="20"/>
      <c r="P5" s="20"/>
      <c r="Q5" s="20"/>
      <c r="R5" s="20"/>
      <c r="S5" s="20"/>
      <c r="T5" s="20"/>
      <c r="U5" s="20"/>
      <c r="V5" s="20"/>
      <c r="W5" s="20"/>
      <c r="X5" s="20"/>
      <c r="Y5" s="20"/>
      <c r="Z5" s="20"/>
    </row>
    <row r="6" spans="1:26" x14ac:dyDescent="0.25">
      <c r="A6" s="24"/>
      <c r="B6" s="24"/>
      <c r="C6" s="24"/>
      <c r="D6" s="24"/>
      <c r="E6" s="24"/>
      <c r="F6" s="24"/>
      <c r="G6" s="24"/>
      <c r="H6" s="24"/>
      <c r="I6" s="24"/>
      <c r="J6" s="20"/>
      <c r="K6" s="20"/>
      <c r="L6" s="20"/>
      <c r="M6" s="20"/>
      <c r="N6" s="20"/>
      <c r="O6" s="20"/>
      <c r="P6" s="20"/>
      <c r="Q6" s="20"/>
      <c r="R6" s="20"/>
      <c r="S6" s="20"/>
      <c r="T6" s="20"/>
      <c r="U6" s="20"/>
      <c r="V6" s="20"/>
      <c r="W6" s="20"/>
      <c r="X6" s="20"/>
      <c r="Y6" s="20"/>
      <c r="Z6" s="20"/>
    </row>
    <row r="7" spans="1:26" x14ac:dyDescent="0.25">
      <c r="A7" s="24"/>
      <c r="B7" s="24"/>
      <c r="C7" s="24"/>
      <c r="D7" s="24"/>
      <c r="E7" s="24"/>
      <c r="F7" s="24"/>
      <c r="G7" s="24"/>
      <c r="H7" s="24"/>
      <c r="I7" s="24"/>
      <c r="J7" s="20"/>
      <c r="K7" s="20"/>
      <c r="L7" s="20"/>
      <c r="M7" s="20"/>
      <c r="N7" s="20"/>
      <c r="O7" s="20"/>
      <c r="P7" s="20"/>
      <c r="Q7" s="20"/>
      <c r="R7" s="20"/>
      <c r="S7" s="20"/>
      <c r="T7" s="20"/>
      <c r="U7" s="20"/>
      <c r="V7" s="20"/>
      <c r="W7" s="20"/>
      <c r="X7" s="20"/>
      <c r="Y7" s="20"/>
      <c r="Z7" s="20"/>
    </row>
    <row r="8" spans="1:26" x14ac:dyDescent="0.25">
      <c r="A8" s="24"/>
      <c r="B8" s="24"/>
      <c r="C8" s="24"/>
      <c r="D8" s="24"/>
      <c r="E8" s="24"/>
      <c r="F8" s="24"/>
      <c r="G8" s="24"/>
      <c r="H8" s="24"/>
      <c r="I8" s="24"/>
      <c r="J8" s="20"/>
      <c r="K8" s="20"/>
      <c r="L8" s="20"/>
      <c r="M8" s="20"/>
      <c r="N8" s="20"/>
      <c r="O8" s="20"/>
      <c r="P8" s="20"/>
      <c r="Q8" s="20"/>
      <c r="R8" s="20"/>
      <c r="S8" s="20"/>
      <c r="T8" s="20"/>
      <c r="U8" s="20"/>
      <c r="V8" s="20"/>
      <c r="W8" s="20"/>
      <c r="X8" s="20"/>
      <c r="Y8" s="20"/>
      <c r="Z8" s="20"/>
    </row>
    <row r="9" spans="1:26" x14ac:dyDescent="0.25">
      <c r="J9" s="20"/>
      <c r="K9" s="20"/>
      <c r="L9" s="20"/>
      <c r="M9" s="20"/>
      <c r="N9" s="20"/>
      <c r="O9" s="20"/>
      <c r="P9" s="20"/>
      <c r="Q9" s="20"/>
      <c r="R9" s="20"/>
      <c r="S9" s="20"/>
      <c r="T9" s="20"/>
      <c r="U9" s="20"/>
      <c r="V9" s="20"/>
      <c r="W9" s="20"/>
      <c r="X9" s="20"/>
      <c r="Y9" s="20"/>
      <c r="Z9" s="20"/>
    </row>
    <row r="10" spans="1:26" x14ac:dyDescent="0.25">
      <c r="A10" s="2" t="s">
        <v>104</v>
      </c>
      <c r="J10" s="20"/>
      <c r="K10" s="20"/>
      <c r="L10" s="20"/>
      <c r="M10" s="20"/>
      <c r="N10" s="20"/>
      <c r="O10" s="20"/>
      <c r="P10" s="20"/>
      <c r="Q10" s="20"/>
      <c r="R10" s="20"/>
      <c r="S10" s="20"/>
      <c r="T10" s="20"/>
      <c r="U10" s="20"/>
      <c r="V10" s="20"/>
      <c r="W10" s="20"/>
      <c r="X10" s="20"/>
      <c r="Y10" s="20"/>
      <c r="Z10" s="20"/>
    </row>
    <row r="11" spans="1:26" x14ac:dyDescent="0.25">
      <c r="A11" s="24"/>
      <c r="B11" s="24"/>
      <c r="C11" s="24"/>
      <c r="D11" s="24"/>
      <c r="E11" s="24"/>
      <c r="F11" s="24"/>
      <c r="G11" s="24"/>
      <c r="H11" s="24"/>
      <c r="I11" s="24"/>
      <c r="J11" s="20"/>
      <c r="K11" s="20"/>
      <c r="L11" s="20"/>
      <c r="M11" s="20"/>
      <c r="N11" s="20"/>
      <c r="O11" s="20"/>
      <c r="P11" s="20"/>
      <c r="Q11" s="20"/>
      <c r="R11" s="20"/>
      <c r="S11" s="20"/>
      <c r="T11" s="20"/>
      <c r="U11" s="20"/>
      <c r="V11" s="20"/>
      <c r="W11" s="20"/>
      <c r="X11" s="20"/>
      <c r="Y11" s="20"/>
      <c r="Z11" s="20"/>
    </row>
    <row r="12" spans="1:26" x14ac:dyDescent="0.25">
      <c r="A12" s="24"/>
      <c r="B12" s="24"/>
      <c r="C12" s="24"/>
      <c r="D12" s="24"/>
      <c r="E12" s="24"/>
      <c r="F12" s="24"/>
      <c r="G12" s="24"/>
      <c r="H12" s="24"/>
      <c r="I12" s="24"/>
      <c r="J12" s="20"/>
      <c r="K12" s="20"/>
      <c r="L12" s="20"/>
      <c r="M12" s="20"/>
      <c r="N12" s="20"/>
      <c r="O12" s="20"/>
      <c r="P12" s="20"/>
      <c r="Q12" s="20"/>
      <c r="R12" s="20"/>
      <c r="S12" s="20"/>
      <c r="T12" s="20"/>
      <c r="U12" s="20"/>
      <c r="V12" s="20"/>
      <c r="W12" s="20"/>
      <c r="X12" s="20"/>
      <c r="Y12" s="20"/>
      <c r="Z12" s="20"/>
    </row>
    <row r="13" spans="1:26" x14ac:dyDescent="0.25">
      <c r="A13" s="24"/>
      <c r="B13" s="24"/>
      <c r="C13" s="24"/>
      <c r="D13" s="24"/>
      <c r="E13" s="24"/>
      <c r="F13" s="24"/>
      <c r="G13" s="24"/>
      <c r="H13" s="24"/>
      <c r="I13" s="24"/>
      <c r="J13" s="20"/>
      <c r="K13" s="20"/>
      <c r="L13" s="20"/>
      <c r="M13" s="20"/>
      <c r="N13" s="20"/>
      <c r="O13" s="20"/>
      <c r="P13" s="20"/>
      <c r="Q13" s="20"/>
      <c r="R13" s="20"/>
      <c r="S13" s="20"/>
      <c r="T13" s="20"/>
      <c r="U13" s="20"/>
      <c r="V13" s="20"/>
      <c r="W13" s="20"/>
      <c r="X13" s="20"/>
      <c r="Y13" s="20"/>
      <c r="Z13" s="20"/>
    </row>
    <row r="14" spans="1:26" x14ac:dyDescent="0.25">
      <c r="A14" s="24"/>
      <c r="B14" s="24"/>
      <c r="C14" s="24"/>
      <c r="D14" s="24"/>
      <c r="E14" s="24"/>
      <c r="F14" s="24"/>
      <c r="G14" s="24"/>
      <c r="H14" s="24"/>
      <c r="I14" s="24"/>
      <c r="J14" s="20"/>
      <c r="K14" s="20"/>
      <c r="L14" s="20"/>
      <c r="M14" s="20"/>
      <c r="N14" s="20"/>
      <c r="O14" s="20"/>
      <c r="P14" s="20"/>
      <c r="Q14" s="20"/>
      <c r="R14" s="20"/>
      <c r="S14" s="20"/>
      <c r="T14" s="20"/>
      <c r="U14" s="20"/>
      <c r="V14" s="20"/>
      <c r="W14" s="20"/>
      <c r="X14" s="20"/>
      <c r="Y14" s="20"/>
      <c r="Z14" s="20"/>
    </row>
    <row r="15" spans="1:26" x14ac:dyDescent="0.25">
      <c r="A15" s="24"/>
      <c r="B15" s="24"/>
      <c r="C15" s="24"/>
      <c r="D15" s="24"/>
      <c r="E15" s="24"/>
      <c r="F15" s="24"/>
      <c r="G15" s="24"/>
      <c r="H15" s="24"/>
      <c r="I15" s="24"/>
      <c r="J15" s="20"/>
      <c r="K15" s="20"/>
      <c r="L15" s="20"/>
      <c r="M15" s="20"/>
      <c r="N15" s="20"/>
      <c r="O15" s="20"/>
      <c r="P15" s="20"/>
      <c r="Q15" s="20"/>
      <c r="R15" s="20"/>
      <c r="S15" s="20"/>
      <c r="T15" s="20"/>
      <c r="U15" s="20"/>
      <c r="V15" s="20"/>
      <c r="W15" s="20"/>
      <c r="X15" s="20"/>
      <c r="Y15" s="20"/>
      <c r="Z15" s="20"/>
    </row>
    <row r="16" spans="1:26" x14ac:dyDescent="0.25">
      <c r="J16" s="20"/>
      <c r="K16" s="20"/>
      <c r="L16" s="20"/>
      <c r="M16" s="20"/>
      <c r="N16" s="20"/>
      <c r="O16" s="20"/>
      <c r="P16" s="20"/>
      <c r="Q16" s="20"/>
      <c r="R16" s="20"/>
      <c r="S16" s="20"/>
      <c r="T16" s="20"/>
      <c r="U16" s="20"/>
      <c r="V16" s="20"/>
      <c r="W16" s="20"/>
      <c r="X16" s="20"/>
      <c r="Y16" s="20"/>
      <c r="Z16" s="20"/>
    </row>
    <row r="17" spans="10:26" x14ac:dyDescent="0.25">
      <c r="J17" s="20"/>
      <c r="K17" s="20"/>
      <c r="L17" s="20"/>
      <c r="M17" s="20"/>
      <c r="N17" s="20"/>
      <c r="O17" s="20"/>
      <c r="P17" s="20"/>
      <c r="Q17" s="20"/>
      <c r="R17" s="20"/>
      <c r="S17" s="20"/>
      <c r="T17" s="20"/>
      <c r="U17" s="20"/>
      <c r="V17" s="20"/>
      <c r="W17" s="20"/>
      <c r="X17" s="20"/>
      <c r="Y17" s="20"/>
      <c r="Z17" s="20"/>
    </row>
    <row r="18" spans="10:26" x14ac:dyDescent="0.25">
      <c r="J18" s="20"/>
      <c r="K18" s="20"/>
      <c r="L18" s="20"/>
      <c r="M18" s="20"/>
      <c r="N18" s="20"/>
      <c r="O18" s="20"/>
      <c r="P18" s="20"/>
      <c r="Q18" s="20"/>
      <c r="R18" s="20"/>
      <c r="S18" s="20"/>
      <c r="T18" s="20"/>
      <c r="U18" s="20"/>
      <c r="V18" s="20"/>
      <c r="W18" s="20"/>
      <c r="X18" s="20"/>
      <c r="Y18" s="20"/>
      <c r="Z18" s="20"/>
    </row>
    <row r="19" spans="10:26" x14ac:dyDescent="0.25">
      <c r="J19" s="20"/>
      <c r="K19" s="20"/>
      <c r="L19" s="20"/>
      <c r="M19" s="20"/>
      <c r="N19" s="20"/>
      <c r="O19" s="20"/>
      <c r="P19" s="20"/>
      <c r="Q19" s="20"/>
      <c r="R19" s="20"/>
      <c r="S19" s="20"/>
      <c r="T19" s="20"/>
      <c r="U19" s="20"/>
      <c r="V19" s="20"/>
      <c r="W19" s="20"/>
      <c r="X19" s="20"/>
      <c r="Y19" s="20"/>
      <c r="Z19" s="20"/>
    </row>
    <row r="20" spans="10:26" x14ac:dyDescent="0.25">
      <c r="J20" s="20"/>
      <c r="K20" s="20"/>
      <c r="L20" s="20"/>
      <c r="M20" s="20"/>
      <c r="N20" s="20"/>
      <c r="O20" s="20"/>
      <c r="P20" s="20"/>
      <c r="Q20" s="20"/>
      <c r="R20" s="20"/>
      <c r="S20" s="20"/>
      <c r="T20" s="20"/>
      <c r="U20" s="20"/>
      <c r="V20" s="20"/>
      <c r="W20" s="20"/>
      <c r="X20" s="20"/>
      <c r="Y20" s="20"/>
      <c r="Z20" s="20"/>
    </row>
    <row r="21" spans="10:26" x14ac:dyDescent="0.25">
      <c r="J21" s="20"/>
      <c r="K21" s="20"/>
      <c r="L21" s="20"/>
      <c r="M21" s="20"/>
      <c r="N21" s="20"/>
      <c r="O21" s="20"/>
      <c r="P21" s="20"/>
      <c r="Q21" s="20"/>
      <c r="R21" s="20"/>
      <c r="S21" s="20"/>
      <c r="T21" s="20"/>
      <c r="U21" s="20"/>
      <c r="V21" s="20"/>
      <c r="W21" s="20"/>
      <c r="X21" s="20"/>
      <c r="Y21" s="20"/>
      <c r="Z21" s="20"/>
    </row>
    <row r="22" spans="10:26" x14ac:dyDescent="0.25">
      <c r="J22" s="20"/>
      <c r="K22" s="20"/>
      <c r="L22" s="20"/>
      <c r="M22" s="20"/>
      <c r="N22" s="20"/>
      <c r="O22" s="20"/>
      <c r="P22" s="20"/>
      <c r="Q22" s="20"/>
      <c r="R22" s="20"/>
      <c r="S22" s="20"/>
      <c r="T22" s="20"/>
      <c r="U22" s="20"/>
      <c r="V22" s="20"/>
      <c r="W22" s="20"/>
      <c r="X22" s="20"/>
      <c r="Y22" s="20"/>
      <c r="Z22" s="20"/>
    </row>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9E223-BA23-4679-B89E-E11026153A1F}">
  <dimension ref="A1:AD50"/>
  <sheetViews>
    <sheetView workbookViewId="0"/>
  </sheetViews>
  <sheetFormatPr defaultRowHeight="15.75" x14ac:dyDescent="0.25"/>
  <cols>
    <col min="1" max="1" width="12.375" customWidth="1"/>
    <col min="2" max="2" width="6.375" customWidth="1"/>
    <col min="3" max="3" width="17.5" bestFit="1" customWidth="1"/>
    <col min="4" max="4" width="6.25" customWidth="1"/>
    <col min="5" max="5" width="8.625" customWidth="1"/>
    <col min="6" max="6" width="11" bestFit="1" customWidth="1"/>
    <col min="7" max="7" width="6.375" customWidth="1"/>
    <col min="8" max="8" width="10.25" customWidth="1"/>
    <col min="9" max="9" width="6.875" customWidth="1"/>
    <col min="10" max="10" width="6.5" customWidth="1"/>
    <col min="11" max="11" width="5.625" customWidth="1"/>
    <col min="12" max="12" width="5.375" customWidth="1"/>
    <col min="13" max="13" width="8.25" bestFit="1" customWidth="1"/>
    <col min="14" max="14" width="7.25" bestFit="1" customWidth="1"/>
    <col min="15" max="15" width="3.375" bestFit="1" customWidth="1"/>
    <col min="16" max="16" width="10.75" customWidth="1"/>
    <col min="17" max="17" width="4.875" customWidth="1"/>
    <col min="18" max="18" width="4.75" customWidth="1"/>
    <col min="19" max="21" width="5.5" bestFit="1" customWidth="1"/>
    <col min="22" max="22" width="6.5" bestFit="1" customWidth="1"/>
    <col min="23" max="23" width="3.25" bestFit="1" customWidth="1"/>
    <col min="24" max="24" width="5.25" bestFit="1" customWidth="1"/>
    <col min="25" max="25" width="4.875" bestFit="1" customWidth="1"/>
    <col min="26" max="27" width="12.25" customWidth="1"/>
  </cols>
  <sheetData>
    <row r="1" spans="1:30" x14ac:dyDescent="0.25">
      <c r="A1" s="3" t="str">
        <f>Name</f>
        <v>Name</v>
      </c>
      <c r="B1" s="4"/>
      <c r="C1" s="14" t="s">
        <v>45</v>
      </c>
      <c r="D1" s="4" t="str">
        <f>Date</f>
        <v>26 XIV 2505</v>
      </c>
      <c r="E1" s="13"/>
      <c r="F1" s="13"/>
      <c r="G1" s="4"/>
      <c r="H1" s="4"/>
      <c r="I1" s="4"/>
      <c r="J1" s="4"/>
      <c r="K1" s="4"/>
      <c r="L1" s="4"/>
      <c r="M1" s="4"/>
      <c r="N1" s="4"/>
      <c r="O1" s="34"/>
      <c r="P1" s="34"/>
      <c r="Q1" s="34"/>
      <c r="R1" s="34"/>
      <c r="S1" s="34"/>
      <c r="T1" s="34"/>
      <c r="U1" s="34"/>
      <c r="V1" s="34"/>
      <c r="W1" s="34"/>
      <c r="X1" s="34"/>
      <c r="Y1" s="34"/>
      <c r="Z1" s="94"/>
      <c r="AA1" s="94"/>
    </row>
    <row r="2" spans="1:30" x14ac:dyDescent="0.25">
      <c r="A2" s="13"/>
      <c r="B2" s="13"/>
      <c r="C2" s="105"/>
      <c r="D2" s="13"/>
      <c r="E2" s="13"/>
      <c r="F2" s="13"/>
      <c r="G2" s="13"/>
      <c r="H2" s="13"/>
      <c r="I2" s="13"/>
      <c r="J2" s="13"/>
      <c r="K2" s="13"/>
      <c r="L2" s="13"/>
      <c r="M2" s="13"/>
      <c r="N2" s="13"/>
      <c r="O2" s="27"/>
      <c r="P2" s="27"/>
      <c r="Q2" s="27"/>
      <c r="R2" s="27"/>
      <c r="S2" s="27"/>
      <c r="T2" s="27"/>
      <c r="U2" s="27"/>
      <c r="V2" s="27"/>
      <c r="W2" s="27"/>
      <c r="X2" s="27"/>
      <c r="Y2" s="27"/>
      <c r="Z2" s="38"/>
      <c r="AA2" s="39"/>
    </row>
    <row r="3" spans="1:30" x14ac:dyDescent="0.25">
      <c r="A3" s="2" t="s">
        <v>229</v>
      </c>
      <c r="B3" s="4"/>
      <c r="C3" s="104"/>
      <c r="D3" s="4"/>
      <c r="E3" s="4"/>
      <c r="F3" s="4"/>
      <c r="G3" s="4"/>
      <c r="H3" s="5" t="s">
        <v>230</v>
      </c>
      <c r="I3" s="95">
        <f>FtL</f>
        <v>7.1</v>
      </c>
      <c r="J3" s="13"/>
      <c r="K3" s="4"/>
      <c r="L3" s="4"/>
      <c r="M3" s="4"/>
      <c r="N3" s="4"/>
      <c r="O3" s="34"/>
      <c r="P3" s="34"/>
      <c r="Q3" s="34"/>
      <c r="R3" s="34"/>
      <c r="S3" s="34"/>
      <c r="T3" s="34"/>
      <c r="U3" s="34"/>
      <c r="V3" s="34"/>
      <c r="W3" s="34"/>
      <c r="X3" s="34"/>
      <c r="Y3" s="34"/>
      <c r="Z3" s="94"/>
      <c r="AA3" s="94"/>
    </row>
    <row r="4" spans="1:30" x14ac:dyDescent="0.25">
      <c r="A4" s="4"/>
      <c r="B4" s="4"/>
      <c r="E4" s="227" t="s">
        <v>1352</v>
      </c>
      <c r="F4" s="236" t="s">
        <v>9</v>
      </c>
      <c r="G4" s="4"/>
      <c r="H4" s="5" t="s">
        <v>11</v>
      </c>
      <c r="I4" s="4" t="str">
        <f>Race</f>
        <v>Human, Westerner</v>
      </c>
      <c r="J4" s="4"/>
      <c r="K4" s="4"/>
      <c r="L4" s="13"/>
      <c r="M4" s="4"/>
      <c r="N4" s="4"/>
      <c r="O4" s="34"/>
      <c r="P4" s="34"/>
      <c r="Q4" s="34"/>
      <c r="R4" s="34"/>
      <c r="S4" s="34"/>
      <c r="T4" s="34"/>
      <c r="U4" s="34"/>
      <c r="V4" s="34"/>
      <c r="W4" s="34"/>
      <c r="X4" s="34"/>
      <c r="Y4" s="34"/>
      <c r="Z4" s="94"/>
      <c r="AA4" s="94"/>
    </row>
    <row r="5" spans="1:30" x14ac:dyDescent="0.25">
      <c r="A5" s="5" t="s">
        <v>231</v>
      </c>
      <c r="B5" s="96">
        <f ca="1">INT((INT(FtL)+2+ IF(St+Dx_Ph &gt;= 30, INT((St+Dx_Ph-25)/5), 0))/3)</f>
        <v>3</v>
      </c>
      <c r="C5" s="104"/>
      <c r="D5" s="5" t="s">
        <v>232</v>
      </c>
      <c r="E5" s="97">
        <f ca="1">12-FtL-Hd</f>
        <v>6.9</v>
      </c>
      <c r="F5" s="5" t="s">
        <v>233</v>
      </c>
      <c r="G5" s="97">
        <f>25+(FtL*5)</f>
        <v>60.5</v>
      </c>
      <c r="H5" s="5" t="s">
        <v>234</v>
      </c>
      <c r="I5" s="96">
        <f ca="1">St</f>
        <v>8</v>
      </c>
      <c r="J5" s="5" t="s">
        <v>235</v>
      </c>
      <c r="K5" s="96">
        <f ca="1">HP</f>
        <v>40</v>
      </c>
      <c r="L5" s="13"/>
      <c r="M5" s="4"/>
      <c r="N5" s="4"/>
      <c r="O5" s="34"/>
      <c r="P5" s="34"/>
      <c r="Q5" s="34"/>
      <c r="R5" s="34"/>
      <c r="S5" s="34"/>
      <c r="T5" s="34"/>
      <c r="U5" s="34"/>
      <c r="V5" s="34"/>
      <c r="W5" s="34"/>
      <c r="X5" s="34"/>
      <c r="Y5" s="34"/>
      <c r="Z5" s="94"/>
      <c r="AA5" s="94"/>
    </row>
    <row r="6" spans="1:30" x14ac:dyDescent="0.25">
      <c r="A6" s="5" t="s">
        <v>236</v>
      </c>
      <c r="B6" s="96">
        <f ca="1">Sz</f>
        <v>5</v>
      </c>
      <c r="C6" s="104"/>
      <c r="D6" s="5" t="s">
        <v>237</v>
      </c>
      <c r="E6" s="97">
        <f ca="1">10-FtL-Hd</f>
        <v>4.9000000000000004</v>
      </c>
      <c r="F6" s="5" t="s">
        <v>238</v>
      </c>
      <c r="G6" s="97">
        <f>5+(FtL*5)</f>
        <v>40.5</v>
      </c>
      <c r="H6" s="5" t="s">
        <v>1000</v>
      </c>
      <c r="I6" s="96">
        <f ca="1">Dx_Ph</f>
        <v>8</v>
      </c>
      <c r="J6" s="5" t="s">
        <v>239</v>
      </c>
      <c r="K6" s="96">
        <f ca="1">Co</f>
        <v>15</v>
      </c>
      <c r="L6" s="13"/>
      <c r="M6" s="4"/>
      <c r="N6" s="4"/>
      <c r="O6" s="34"/>
      <c r="P6" s="34"/>
      <c r="Q6" s="34"/>
      <c r="R6" s="34"/>
      <c r="S6" s="34"/>
      <c r="T6" s="34"/>
      <c r="U6" s="34"/>
      <c r="V6" s="34"/>
      <c r="W6" s="34"/>
      <c r="X6" s="34"/>
      <c r="Y6" s="34"/>
      <c r="Z6" s="94"/>
      <c r="AA6" s="94"/>
    </row>
    <row r="7" spans="1:30" x14ac:dyDescent="0.25">
      <c r="A7" s="13"/>
      <c r="B7" s="13"/>
      <c r="C7" s="104"/>
      <c r="D7" s="5" t="s">
        <v>240</v>
      </c>
      <c r="E7" s="97">
        <f ca="1">8-FtL-Hd</f>
        <v>2.9000000000000004</v>
      </c>
      <c r="F7" s="4"/>
      <c r="G7" s="4"/>
      <c r="H7" s="227" t="s">
        <v>999</v>
      </c>
      <c r="I7" s="226">
        <f>-INT(H38/300)</f>
        <v>-1</v>
      </c>
      <c r="J7" s="13"/>
      <c r="K7" s="13"/>
      <c r="L7" s="13"/>
      <c r="M7" s="4"/>
      <c r="N7" s="4"/>
      <c r="O7" s="34"/>
      <c r="P7" s="34"/>
      <c r="Q7" s="34"/>
      <c r="R7" s="34"/>
      <c r="S7" s="34"/>
      <c r="T7" s="34"/>
      <c r="U7" s="34"/>
      <c r="V7" s="34"/>
      <c r="W7" s="34"/>
      <c r="X7" s="34"/>
      <c r="Y7" s="34"/>
      <c r="Z7" s="94"/>
      <c r="AA7" s="94"/>
    </row>
    <row r="8" spans="1:30" x14ac:dyDescent="0.25">
      <c r="A8" s="4"/>
      <c r="B8" s="3"/>
      <c r="C8" s="6"/>
      <c r="D8" s="4"/>
      <c r="E8" s="12"/>
      <c r="F8" s="12"/>
      <c r="G8" s="13"/>
      <c r="H8" s="28" t="s">
        <v>1343</v>
      </c>
      <c r="I8" s="29">
        <f>IF(FtL&gt;=AA29, INT(FtL-AA29), "ERROR!")</f>
        <v>1</v>
      </c>
      <c r="N8" s="4"/>
      <c r="O8" s="34"/>
      <c r="P8" s="34"/>
      <c r="Q8" s="34"/>
      <c r="R8" s="34"/>
      <c r="S8" s="34"/>
      <c r="T8" s="34"/>
      <c r="U8" s="34"/>
      <c r="V8" s="34"/>
      <c r="W8" s="34"/>
      <c r="X8" s="34"/>
      <c r="Y8" s="34"/>
      <c r="Z8" s="94"/>
      <c r="AA8" s="94"/>
    </row>
    <row r="9" spans="1:30" x14ac:dyDescent="0.25">
      <c r="A9" s="3" t="s">
        <v>241</v>
      </c>
      <c r="B9" s="6" t="s">
        <v>244</v>
      </c>
      <c r="C9" s="3" t="s">
        <v>242</v>
      </c>
      <c r="D9" s="6" t="s">
        <v>243</v>
      </c>
      <c r="E9" s="6" t="s">
        <v>245</v>
      </c>
      <c r="F9" s="6" t="s">
        <v>246</v>
      </c>
      <c r="G9" s="6" t="s">
        <v>247</v>
      </c>
      <c r="H9" s="6" t="s">
        <v>248</v>
      </c>
      <c r="I9" s="93" t="s">
        <v>249</v>
      </c>
      <c r="J9" s="93" t="s">
        <v>250</v>
      </c>
      <c r="K9" s="3"/>
      <c r="L9" s="3"/>
      <c r="M9" s="3" t="s">
        <v>251</v>
      </c>
      <c r="N9" s="3" t="s">
        <v>252</v>
      </c>
      <c r="O9" s="21"/>
      <c r="P9" s="21"/>
      <c r="Q9" s="21"/>
      <c r="R9" s="21"/>
      <c r="S9" s="21"/>
      <c r="T9" s="21"/>
      <c r="U9" s="21"/>
      <c r="V9" s="21"/>
      <c r="W9" s="21"/>
      <c r="X9" s="21"/>
      <c r="Y9" s="21"/>
      <c r="Z9" s="98"/>
      <c r="AA9" s="98"/>
      <c r="AD9" s="9"/>
    </row>
    <row r="10" spans="1:30" x14ac:dyDescent="0.25">
      <c r="A10" s="4"/>
      <c r="B10" s="104"/>
      <c r="C10" s="3"/>
      <c r="D10" s="6"/>
      <c r="E10" s="4"/>
      <c r="F10" s="4"/>
      <c r="G10" s="4"/>
      <c r="H10" s="4"/>
      <c r="I10" s="96"/>
      <c r="J10" s="93" t="s">
        <v>253</v>
      </c>
      <c r="K10" s="6" t="s">
        <v>254</v>
      </c>
      <c r="L10" s="6" t="s">
        <v>255</v>
      </c>
      <c r="M10" s="4"/>
      <c r="N10" s="3" t="s">
        <v>256</v>
      </c>
      <c r="O10" s="34"/>
      <c r="P10" s="34"/>
      <c r="Q10" s="34"/>
      <c r="R10" s="34"/>
      <c r="S10" s="34"/>
      <c r="T10" s="34"/>
      <c r="U10" s="34"/>
      <c r="V10" s="34"/>
      <c r="W10" s="34"/>
      <c r="X10" s="34"/>
      <c r="Y10" s="34"/>
      <c r="Z10" s="94"/>
      <c r="AA10" s="94"/>
    </row>
    <row r="11" spans="1:30" x14ac:dyDescent="0.25">
      <c r="A11" s="4"/>
      <c r="B11" s="104"/>
      <c r="C11" s="3" t="s">
        <v>257</v>
      </c>
      <c r="D11" s="6" t="s">
        <v>996</v>
      </c>
      <c r="E11" s="4"/>
      <c r="F11" s="4"/>
      <c r="G11" s="4"/>
      <c r="H11" s="4"/>
      <c r="I11" s="96"/>
      <c r="J11" s="6"/>
      <c r="K11" s="6"/>
      <c r="L11" s="6"/>
      <c r="M11" s="4"/>
      <c r="N11" s="4"/>
      <c r="O11" s="34"/>
      <c r="P11" s="106" t="s">
        <v>1344</v>
      </c>
      <c r="Q11" s="34"/>
      <c r="R11" s="34"/>
      <c r="S11" s="100" t="s">
        <v>258</v>
      </c>
      <c r="T11" s="100" t="s">
        <v>23</v>
      </c>
      <c r="U11" s="100" t="s">
        <v>259</v>
      </c>
      <c r="V11" s="34"/>
      <c r="W11" s="27"/>
      <c r="X11" s="34" t="s">
        <v>260</v>
      </c>
      <c r="Y11" s="100" t="s">
        <v>261</v>
      </c>
      <c r="Z11" s="232" t="s">
        <v>241</v>
      </c>
      <c r="AA11" s="233" t="s">
        <v>1342</v>
      </c>
    </row>
    <row r="12" spans="1:30" x14ac:dyDescent="0.25">
      <c r="A12" s="4"/>
      <c r="B12" s="104"/>
      <c r="C12" s="3"/>
      <c r="D12" s="6"/>
      <c r="E12" s="4"/>
      <c r="F12" s="4"/>
      <c r="G12" s="4"/>
      <c r="H12" s="4"/>
      <c r="I12" s="96"/>
      <c r="J12" s="6"/>
      <c r="K12" s="6"/>
      <c r="L12" s="6"/>
      <c r="M12" s="4"/>
      <c r="N12" s="4"/>
      <c r="O12" s="100" t="s">
        <v>262</v>
      </c>
      <c r="P12" s="106" t="s">
        <v>994</v>
      </c>
      <c r="Q12" s="100" t="s">
        <v>993</v>
      </c>
      <c r="R12" s="100" t="s">
        <v>263</v>
      </c>
      <c r="S12" s="100" t="s">
        <v>264</v>
      </c>
      <c r="T12" s="100" t="s">
        <v>265</v>
      </c>
      <c r="U12" s="100" t="s">
        <v>265</v>
      </c>
      <c r="V12" s="100" t="s">
        <v>266</v>
      </c>
      <c r="W12" s="106" t="s">
        <v>745</v>
      </c>
      <c r="X12" s="34" t="s">
        <v>267</v>
      </c>
      <c r="Y12" s="100" t="s">
        <v>268</v>
      </c>
      <c r="Z12" s="234" t="s">
        <v>1348</v>
      </c>
      <c r="AA12" s="235" t="s">
        <v>1340</v>
      </c>
    </row>
    <row r="13" spans="1:30" ht="16.5" x14ac:dyDescent="0.3">
      <c r="A13" s="4" t="str">
        <f>HLOOKUP("Class",'Ft Weapons'!$B$3:$P$59,$S13,FALSE)</f>
        <v>Swords</v>
      </c>
      <c r="B13" s="107">
        <v>3</v>
      </c>
      <c r="C13" s="101" t="s">
        <v>269</v>
      </c>
      <c r="D13" s="222" t="s">
        <v>992</v>
      </c>
      <c r="E13" s="4" t="str">
        <f>HLOOKUP("Used",'Ft Weapons'!$B$3:$K$98,$S13,FALSE)</f>
        <v>1/H</v>
      </c>
      <c r="F13" s="120">
        <f ca="1">5*(FtL+O13+T13+U13+(B13-1)+HLOOKUP(A13,SMs!$A$4:$BG$35,'Characteristics &amp; Experience'!$G$45,FALSE))</f>
        <v>20.5</v>
      </c>
      <c r="G13" s="120">
        <f ca="1">F13+(5*(U13+(B13-2)+HLOOKUP("PE",'Ft Weapons'!$B$3:$K$98,$S13,FALSE)+R13))</f>
        <v>25.5</v>
      </c>
      <c r="H13" s="14" t="str">
        <f>HLOOKUP("DAM",'Ft Weapons'!$B$3:$K$98,$S13,FALSE)</f>
        <v>d6+d4</v>
      </c>
      <c r="I13" s="278">
        <f t="shared" ref="I13:I18" ca="1" si="0">T13+(B13-2)+IF(P13="",0,P13)+Q13</f>
        <v>-4</v>
      </c>
      <c r="J13" s="120">
        <f>HLOOKUP(J$10,'Ft Weapons'!$B$3:$K$98,$S13,FALSE)+$Q13</f>
        <v>0</v>
      </c>
      <c r="K13" s="120">
        <f>HLOOKUP(K$10,'Ft Weapons'!$B$3:$K$98,$S13,FALSE)+$Q13</f>
        <v>0</v>
      </c>
      <c r="L13" s="120">
        <f>HLOOKUP(L$10,'Ft Weapons'!$B$3:$K$98,$S13,FALSE)+$Q13</f>
        <v>-1</v>
      </c>
      <c r="M13" s="104"/>
      <c r="N13" s="104">
        <v>1</v>
      </c>
      <c r="O13" s="262"/>
      <c r="P13" s="260" t="str">
        <f>IF(LEFT(D13,2)="ML",HLOOKUP(P$12,'Ft Weapons'!$B$3:$P$59,$S13,FALSE),"")</f>
        <v/>
      </c>
      <c r="Q13" s="265"/>
      <c r="R13" s="266"/>
      <c r="S13" s="212">
        <f>MATCH($C13,'Ft Weapons'!$B$3:$B$90,0)</f>
        <v>10</v>
      </c>
      <c r="T13" s="212">
        <f ca="1">VLOOKUP(HLOOKUP("StN",'Ft Weapons'!$B$3:$K$98,$S13,FALSE)+N13,'Ft St &amp; DxN'!$A$5:$AA$26, St+2+IF(Switch_Weapon_Shield_Hands="Yes",Hd,0), FALSE)</f>
        <v>-5</v>
      </c>
      <c r="U13" s="212">
        <f ca="1">VLOOKUP(HLOOKUP("DxN",'Ft Weapons'!$B$3:$K$98,$S13,FALSE),'Ft St &amp; DxN'!$A$5:$AA$26, Dx_Ph+2+IF(Switch_Weapon_Shield_Hands="Yes",Hd,0)+Dx_Ph_Penalty, FALSE)</f>
        <v>0</v>
      </c>
      <c r="V13" s="212">
        <f>HLOOKUP(V$12,'Ft Weapons'!$B$3:$P$59,$S13,FALSE)</f>
        <v>75</v>
      </c>
      <c r="W13" s="237" t="s">
        <v>51</v>
      </c>
      <c r="X13" s="213">
        <f ca="1">HLOOKUP("Av DAM",'Ft Weapons'!$B$3:$P$59,$S13,FALSE)+I13</f>
        <v>2</v>
      </c>
      <c r="Y13" s="213">
        <f t="shared" ref="Y13:Y18" ca="1" si="1">X13+L13</f>
        <v>1</v>
      </c>
      <c r="Z13" s="229">
        <f>COUNTIF($A$13:A13,A13)</f>
        <v>1</v>
      </c>
      <c r="AA13" s="228">
        <f t="shared" ref="AA13:AA18" si="2">IF(Z13&gt;1,0,IF(B13&lt;2, 0, 1+(B13-1)*(B13-2)/2))</f>
        <v>2</v>
      </c>
    </row>
    <row r="14" spans="1:30" ht="16.5" x14ac:dyDescent="0.3">
      <c r="A14" s="4" t="str">
        <f>HLOOKUP("Class",'Ft Weapons'!$B$3:$P$59,$S14,FALSE)</f>
        <v>Swords</v>
      </c>
      <c r="B14" s="107">
        <v>3</v>
      </c>
      <c r="C14" s="101" t="s">
        <v>660</v>
      </c>
      <c r="D14" s="222" t="s">
        <v>992</v>
      </c>
      <c r="E14" s="4" t="str">
        <f>HLOOKUP("Used",'Ft Weapons'!$B$3:$K$98,$S14,FALSE)</f>
        <v>1/H</v>
      </c>
      <c r="F14" s="120">
        <f ca="1">5*(FtL+O14+T14+U14+(B14-1)+HLOOKUP(A14,SMs!$A$4:$BG$35,'Characteristics &amp; Experience'!$G$45,FALSE))</f>
        <v>40.5</v>
      </c>
      <c r="G14" s="120">
        <f ca="1">F14+(5*(U14+(B14-2)+HLOOKUP("PE",'Ft Weapons'!$B$3:$K$98,$S14,FALSE)+R14))</f>
        <v>55.5</v>
      </c>
      <c r="H14" s="14" t="str">
        <f>HLOOKUP("DAM",'Ft Weapons'!$B$3:$K$98,$S14,FALSE)</f>
        <v>2d4</v>
      </c>
      <c r="I14" s="278">
        <f t="shared" ca="1" si="0"/>
        <v>0</v>
      </c>
      <c r="J14" s="120">
        <f>HLOOKUP(J$10,'Ft Weapons'!$B$3:$K$98,$S14,FALSE)+$Q14</f>
        <v>0</v>
      </c>
      <c r="K14" s="120">
        <f>HLOOKUP(K$10,'Ft Weapons'!$B$3:$K$98,$S14,FALSE)+$Q14</f>
        <v>-1</v>
      </c>
      <c r="L14" s="120">
        <f>HLOOKUP(L$10,'Ft Weapons'!$B$3:$K$98,$S14,FALSE)+$Q14</f>
        <v>-2</v>
      </c>
      <c r="M14" s="104"/>
      <c r="N14" s="104">
        <v>1</v>
      </c>
      <c r="O14" s="263"/>
      <c r="P14" s="260" t="str">
        <f>IF(LEFT(D14,2)="ML",HLOOKUP(P$12,'Ft Weapons'!$B$3:$P$59,$S14,FALSE),"")</f>
        <v/>
      </c>
      <c r="Q14" s="267"/>
      <c r="R14" s="268"/>
      <c r="S14" s="212">
        <f>MATCH($C14,'Ft Weapons'!$B$3:$B$90,0)</f>
        <v>7</v>
      </c>
      <c r="T14" s="212">
        <f ca="1">VLOOKUP(HLOOKUP("StN",'Ft Weapons'!$B$3:$K$98,$S14,FALSE)+N14,'Ft St &amp; DxN'!$A$5:$AA$26, St+2+IF(Switch_Weapon_Shield_Hands="Yes",Hd,0), FALSE)</f>
        <v>-1</v>
      </c>
      <c r="U14" s="212">
        <f ca="1">VLOOKUP(HLOOKUP("DxN",'Ft Weapons'!$B$3:$K$98,$S14,FALSE),'Ft St &amp; DxN'!$A$5:$AA$26, Dx_Ph+2+IF(Switch_Weapon_Shield_Hands="Yes",Hd,0)+Dx_Ph_Penalty, FALSE)</f>
        <v>0</v>
      </c>
      <c r="V14" s="212">
        <f>HLOOKUP(V$12,'Ft Weapons'!$B$3:$P$59,$S14,FALSE)</f>
        <v>50</v>
      </c>
      <c r="W14" s="237" t="s">
        <v>51</v>
      </c>
      <c r="X14" s="213">
        <f ca="1">HLOOKUP("Av DAM",'Ft Weapons'!$B$3:$P$59,$S14,FALSE)+I14</f>
        <v>5</v>
      </c>
      <c r="Y14" s="213">
        <f t="shared" ca="1" si="1"/>
        <v>3</v>
      </c>
      <c r="Z14" s="229">
        <f>COUNTIF($A$13:A14,A14)</f>
        <v>2</v>
      </c>
      <c r="AA14" s="228">
        <f t="shared" si="2"/>
        <v>0</v>
      </c>
    </row>
    <row r="15" spans="1:30" ht="16.5" x14ac:dyDescent="0.3">
      <c r="A15" s="4" t="str">
        <f>HLOOKUP("Class",'Ft Weapons'!$B$3:$N$98,$S15,FALSE)</f>
        <v>Daggers</v>
      </c>
      <c r="B15" s="107">
        <v>2</v>
      </c>
      <c r="C15" s="101" t="s">
        <v>270</v>
      </c>
      <c r="D15" s="222" t="s">
        <v>995</v>
      </c>
      <c r="E15" s="4" t="str">
        <f>HLOOKUP("Used",'Ft Weapons'!$B$3:$K$98,$S15,FALSE)</f>
        <v>1/H + b</v>
      </c>
      <c r="F15" s="120">
        <f ca="1">5*(FtL+O15+T15+U15+(B15-1)+HLOOKUP(A15,SMs!$A$4:$BG$35,'Characteristics &amp; Experience'!$G$45,FALSE))</f>
        <v>55.5</v>
      </c>
      <c r="G15" s="120">
        <f ca="1">F15+(5*(U15+(B15-2)+HLOOKUP("PE",'Ft Weapons'!$B$3:$K$98,$S15,FALSE)+R15))</f>
        <v>75.5</v>
      </c>
      <c r="H15" s="14" t="str">
        <f>HLOOKUP("DAM",'Ft Weapons'!$B$3:$K$98,$S15,FALSE)</f>
        <v>d4</v>
      </c>
      <c r="I15" s="278">
        <f t="shared" ca="1" si="0"/>
        <v>2</v>
      </c>
      <c r="J15" s="120">
        <f>HLOOKUP(J$10,'Ft Weapons'!$B$3:$K$98,$S15,FALSE)+$Q15</f>
        <v>-1</v>
      </c>
      <c r="K15" s="120">
        <f>HLOOKUP(K$10,'Ft Weapons'!$B$3:$K$98,$S15,FALSE)+$Q15</f>
        <v>-2</v>
      </c>
      <c r="L15" s="120">
        <f>HLOOKUP(L$10,'Ft Weapons'!$B$3:$K$98,$S15,FALSE)+$Q15</f>
        <v>-3</v>
      </c>
      <c r="M15" s="104"/>
      <c r="N15" s="104"/>
      <c r="O15" s="263">
        <v>1</v>
      </c>
      <c r="P15" s="261">
        <f>IF(LEFT(D15,2)="ML",HLOOKUP(P$12,'Ft Weapons'!$B$3:$P$59,$S15,FALSE),"")</f>
        <v>1</v>
      </c>
      <c r="Q15" s="267"/>
      <c r="R15" s="268"/>
      <c r="S15" s="215">
        <f>MATCH($C15,'Ft Weapons'!$B$3:$B$90,0)</f>
        <v>5</v>
      </c>
      <c r="T15" s="212">
        <f ca="1">VLOOKUP(HLOOKUP("StN",'Ft Weapons'!$B$3:$K$98,$S15,FALSE)+N15,'Ft St &amp; DxN'!$A$5:$AA$26, St+2+IF(Switch_Weapon_Shield_Hands="Yes",Hd,0), FALSE)</f>
        <v>1</v>
      </c>
      <c r="U15" s="212">
        <f ca="1">VLOOKUP(HLOOKUP("DxN",'Ft Weapons'!$B$3:$K$98,$S15,FALSE),'Ft St &amp; DxN'!$A$5:$AA$26, Dx_Ph+2+IF(Switch_Weapon_Shield_Hands="Yes",Hd,0)+Dx_Ph_Penalty, FALSE)</f>
        <v>1</v>
      </c>
      <c r="V15" s="215">
        <f>HLOOKUP(V$12,'Ft Weapons'!$B$3:$P$59,$S15,FALSE)</f>
        <v>20</v>
      </c>
      <c r="W15" s="237" t="s">
        <v>51</v>
      </c>
      <c r="X15" s="216">
        <f ca="1">HLOOKUP("Av DAM",'Ft Weapons'!$B$3:$P$59,$S15,FALSE)+I15</f>
        <v>4.5</v>
      </c>
      <c r="Y15" s="216">
        <f t="shared" ca="1" si="1"/>
        <v>1.5</v>
      </c>
      <c r="Z15" s="229">
        <f>COUNTIF($A$13:A15,A15)</f>
        <v>1</v>
      </c>
      <c r="AA15" s="228">
        <f t="shared" si="2"/>
        <v>1</v>
      </c>
    </row>
    <row r="16" spans="1:30" ht="16.5" x14ac:dyDescent="0.3">
      <c r="A16" s="4" t="str">
        <f>HLOOKUP("Class",'Ft Weapons'!$B$3:$N$98,$S16,FALSE)</f>
        <v>Axes</v>
      </c>
      <c r="B16" s="107">
        <v>1</v>
      </c>
      <c r="C16" s="101" t="s">
        <v>676</v>
      </c>
      <c r="D16" s="222" t="s">
        <v>994</v>
      </c>
      <c r="E16" s="4" t="str">
        <f>HLOOKUP("Used",'Ft Weapons'!$B$3:$K$98,$S16,FALSE)</f>
        <v>1/H + b</v>
      </c>
      <c r="F16" s="120">
        <f ca="1">5*(FtL+O16+T16+U16+(B16-1)+HLOOKUP(A16,SMs!$A$4:$BG$35,'Characteristics &amp; Experience'!$G$45,FALSE))</f>
        <v>40.5</v>
      </c>
      <c r="G16" s="120">
        <f ca="1">F16+(5*(U16+(B16-2)+HLOOKUP("PE",'Ft Weapons'!$B$3:$K$98,$S16,FALSE)+R16))</f>
        <v>50.5</v>
      </c>
      <c r="H16" s="14" t="str">
        <f>HLOOKUP("DAM",'Ft Weapons'!$B$3:$K$98,$S16,FALSE)</f>
        <v>d4+1</v>
      </c>
      <c r="I16" s="278">
        <f t="shared" ca="1" si="0"/>
        <v>0</v>
      </c>
      <c r="J16" s="120">
        <f>HLOOKUP(J$10,'Ft Weapons'!$B$3:$K$98,$S16,FALSE)+$Q16</f>
        <v>0</v>
      </c>
      <c r="K16" s="120">
        <f>HLOOKUP(K$10,'Ft Weapons'!$B$3:$K$98,$S16,FALSE)+$Q16</f>
        <v>-1</v>
      </c>
      <c r="L16" s="120">
        <f>HLOOKUP(L$10,'Ft Weapons'!$B$3:$K$98,$S16,FALSE)+$Q16</f>
        <v>-2</v>
      </c>
      <c r="M16" s="104"/>
      <c r="N16" s="104"/>
      <c r="O16" s="263"/>
      <c r="P16" s="261">
        <f>IF(LEFT(D16,2)="ML",HLOOKUP(P$12,'Ft Weapons'!$B$3:$P$59,$S16,FALSE),"")</f>
        <v>1</v>
      </c>
      <c r="Q16" s="267"/>
      <c r="R16" s="268"/>
      <c r="S16" s="215">
        <f>MATCH($C16,'Ft Weapons'!$B$3:$B$90,0)</f>
        <v>14</v>
      </c>
      <c r="T16" s="212">
        <f ca="1">VLOOKUP(HLOOKUP("StN",'Ft Weapons'!$B$3:$K$98,$S16,FALSE)+N16,'Ft St &amp; DxN'!$A$5:$AA$26, St+2+IF(Switch_Weapon_Shield_Hands="Yes",Hd,0), FALSE)</f>
        <v>0</v>
      </c>
      <c r="U16" s="212">
        <f ca="1">VLOOKUP(HLOOKUP("DxN",'Ft Weapons'!$B$3:$K$98,$S16,FALSE),'Ft St &amp; DxN'!$A$5:$AA$26, Dx_Ph+2+IF(Switch_Weapon_Shield_Hands="Yes",Hd,0)+Dx_Ph_Penalty, FALSE)</f>
        <v>1</v>
      </c>
      <c r="V16" s="215">
        <f>HLOOKUP(V$12,'Ft Weapons'!$B$3:$P$59,$S16,FALSE)</f>
        <v>50</v>
      </c>
      <c r="W16" s="237" t="s">
        <v>51</v>
      </c>
      <c r="X16" s="216">
        <f ca="1">HLOOKUP("Av DAM",'Ft Weapons'!$B$3:$P$59,$S16,FALSE)+I16</f>
        <v>3.5</v>
      </c>
      <c r="Y16" s="216">
        <f t="shared" ca="1" si="1"/>
        <v>1.5</v>
      </c>
      <c r="Z16" s="229">
        <f>COUNTIF($A$13:A16,A16)</f>
        <v>1</v>
      </c>
      <c r="AA16" s="228">
        <f t="shared" si="2"/>
        <v>0</v>
      </c>
    </row>
    <row r="17" spans="1:27" ht="16.5" x14ac:dyDescent="0.3">
      <c r="A17" s="4" t="str">
        <f>HLOOKUP("Class",'Ft Weapons'!$B$3:$N$98,$S17,FALSE)</f>
        <v>Hand to Hand</v>
      </c>
      <c r="B17" s="107">
        <v>1</v>
      </c>
      <c r="C17" s="101" t="s">
        <v>273</v>
      </c>
      <c r="D17" s="222" t="s">
        <v>992</v>
      </c>
      <c r="E17" s="4" t="str">
        <f>HLOOKUP("Used",'Ft Weapons'!$B$3:$K$98,$S17,FALSE)</f>
        <v>1/H</v>
      </c>
      <c r="F17" s="120">
        <f ca="1">5*(FtL+O17+T17+U17+(B17-1)+HLOOKUP(A17,SMs!$A$4:$BG$35,'Characteristics &amp; Experience'!$G$45,FALSE))</f>
        <v>55.5</v>
      </c>
      <c r="G17" s="120">
        <f ca="1">F17+(5*(U17+(B17-2)+HLOOKUP("PE",'Ft Weapons'!$B$3:$K$98,$S17,FALSE)+R17))</f>
        <v>60.5</v>
      </c>
      <c r="H17" s="14" t="str">
        <f>HLOOKUP("DAM",'Ft Weapons'!$B$3:$K$98,$S17,FALSE)</f>
        <v>d4/2</v>
      </c>
      <c r="I17" s="278">
        <f t="shared" ca="1" si="0"/>
        <v>1</v>
      </c>
      <c r="J17" s="120">
        <f>HLOOKUP(J$10,'Ft Weapons'!$B$3:$K$98,$S17,FALSE)+$Q17</f>
        <v>0</v>
      </c>
      <c r="K17" s="120">
        <f>HLOOKUP(K$10,'Ft Weapons'!$B$3:$K$98,$S17,FALSE)+$Q17</f>
        <v>-1</v>
      </c>
      <c r="L17" s="120">
        <f>HLOOKUP(L$10,'Ft Weapons'!$B$3:$K$98,$S17,FALSE)+$Q17</f>
        <v>-4</v>
      </c>
      <c r="M17" s="104"/>
      <c r="N17" s="104"/>
      <c r="O17" s="263"/>
      <c r="P17" s="261" t="str">
        <f>IF(LEFT(D17,2)="ML",HLOOKUP(P$12,'Ft Weapons'!$B$3:$P$59,$S17,FALSE),"")</f>
        <v/>
      </c>
      <c r="Q17" s="267"/>
      <c r="R17" s="268"/>
      <c r="S17" s="215">
        <f>MATCH($C17,'Ft Weapons'!$B$3:$B$90,0)</f>
        <v>56</v>
      </c>
      <c r="T17" s="212">
        <f ca="1">VLOOKUP(HLOOKUP("StN",'Ft Weapons'!$B$3:$K$98,$S17,FALSE)+N17,'Ft St &amp; DxN'!$A$5:$AA$26, St+2+IF(Switch_Weapon_Shield_Hands="Yes",Hd,0), FALSE)</f>
        <v>2</v>
      </c>
      <c r="U17" s="212">
        <f ca="1">VLOOKUP(HLOOKUP("DxN",'Ft Weapons'!$B$3:$K$98,$S17,FALSE),'Ft St &amp; DxN'!$A$5:$AA$26, Dx_Ph+2+IF(Switch_Weapon_Shield_Hands="Yes",Hd,0)+Dx_Ph_Penalty, FALSE)</f>
        <v>2</v>
      </c>
      <c r="V17" s="215">
        <f>HLOOKUP(V$12,'Ft Weapons'!$B$3:$P$59,$S17,FALSE)</f>
        <v>0</v>
      </c>
      <c r="W17" s="237" t="s">
        <v>51</v>
      </c>
      <c r="X17" s="216">
        <f ca="1">HLOOKUP("Av DAM",'Ft Weapons'!$B$3:$P$59,$S17,FALSE)+I17</f>
        <v>2.5</v>
      </c>
      <c r="Y17" s="216">
        <f t="shared" ca="1" si="1"/>
        <v>-1.5</v>
      </c>
      <c r="Z17" s="229">
        <f>COUNTIF($A$13:A17,A17)</f>
        <v>1</v>
      </c>
      <c r="AA17" s="228">
        <f t="shared" si="2"/>
        <v>0</v>
      </c>
    </row>
    <row r="18" spans="1:27" ht="16.5" x14ac:dyDescent="0.3">
      <c r="A18" s="4" t="str">
        <f>HLOOKUP("Class",'Ft Weapons'!$B$3:$N$98,$S18,FALSE)</f>
        <v>Hand to Hand</v>
      </c>
      <c r="B18" s="107">
        <v>1</v>
      </c>
      <c r="C18" s="101" t="s">
        <v>744</v>
      </c>
      <c r="D18" s="222" t="s">
        <v>992</v>
      </c>
      <c r="E18" s="4" t="str">
        <f>HLOOKUP("Used",'Ft Weapons'!$B$3:$K$98,$S18,FALSE)</f>
        <v>1/F</v>
      </c>
      <c r="F18" s="120">
        <f ca="1">5*(FtL+O18+T18+U18+(B18-1)+HLOOKUP(A18,SMs!$A$4:$BG$35,'Characteristics &amp; Experience'!$G$45,FALSE))</f>
        <v>50.5</v>
      </c>
      <c r="G18" s="120">
        <f ca="1">F18+(5*(U18+(B18-2)+HLOOKUP("PE",'Ft Weapons'!$B$3:$K$98,$S18,FALSE)+R18))</f>
        <v>55.5</v>
      </c>
      <c r="H18" s="14" t="str">
        <f>HLOOKUP("DAM",'Ft Weapons'!$B$3:$K$98,$S18,FALSE)</f>
        <v>d6/2</v>
      </c>
      <c r="I18" s="278">
        <f t="shared" ca="1" si="0"/>
        <v>0</v>
      </c>
      <c r="J18" s="120">
        <f>HLOOKUP(J$10,'Ft Weapons'!$B$3:$K$98,$S18,FALSE)+$Q18</f>
        <v>0</v>
      </c>
      <c r="K18" s="120">
        <f>HLOOKUP(K$10,'Ft Weapons'!$B$3:$K$98,$S18,FALSE)+$Q18</f>
        <v>-1</v>
      </c>
      <c r="L18" s="120">
        <f>HLOOKUP(L$10,'Ft Weapons'!$B$3:$K$98,$S18,FALSE)+$Q18</f>
        <v>-4</v>
      </c>
      <c r="M18" s="104"/>
      <c r="N18" s="104"/>
      <c r="O18" s="264"/>
      <c r="P18" s="261" t="str">
        <f>IF(LEFT(D18,2)="ML",HLOOKUP(P$12,'Ft Weapons'!$B$3:$P$59,$S18,FALSE),"")</f>
        <v/>
      </c>
      <c r="Q18" s="269"/>
      <c r="R18" s="270"/>
      <c r="S18" s="215">
        <f>MATCH($C18,'Ft Weapons'!$B$3:$B$90,0)</f>
        <v>57</v>
      </c>
      <c r="T18" s="212">
        <f ca="1">VLOOKUP(HLOOKUP("StN",'Ft Weapons'!$B$3:$K$98,$S18,FALSE)+N18,'Ft St &amp; DxN'!$A$5:$AA$26, St+2+IF(Switch_Weapon_Shield_Hands="Yes",Hd,0), FALSE)</f>
        <v>1</v>
      </c>
      <c r="U18" s="212">
        <f ca="1">VLOOKUP(HLOOKUP("DxN",'Ft Weapons'!$B$3:$K$98,$S18,FALSE),'Ft St &amp; DxN'!$A$5:$AA$26, Dx_Ph+2+IF(Switch_Weapon_Shield_Hands="Yes",Hd,0)+Dx_Ph_Penalty, FALSE)</f>
        <v>2</v>
      </c>
      <c r="V18" s="215">
        <f>HLOOKUP(V$12,'Ft Weapons'!$B$3:$P$59,$S18,FALSE)</f>
        <v>0</v>
      </c>
      <c r="W18" s="237" t="s">
        <v>51</v>
      </c>
      <c r="X18" s="216">
        <f ca="1">HLOOKUP("Av DAM",'Ft Weapons'!$B$3:$P$59,$S18,FALSE)+I18</f>
        <v>2</v>
      </c>
      <c r="Y18" s="216">
        <f t="shared" ca="1" si="1"/>
        <v>-2</v>
      </c>
      <c r="Z18" s="229">
        <f>COUNTIF($A$13:A18,A18)</f>
        <v>2</v>
      </c>
      <c r="AA18" s="228">
        <f t="shared" si="2"/>
        <v>0</v>
      </c>
    </row>
    <row r="19" spans="1:27" x14ac:dyDescent="0.25">
      <c r="A19" s="4"/>
      <c r="B19" s="104"/>
      <c r="C19" s="4"/>
      <c r="D19" s="104"/>
      <c r="E19" s="4"/>
      <c r="F19" s="4"/>
      <c r="G19" s="4"/>
      <c r="H19" s="4"/>
      <c r="I19" s="104"/>
      <c r="J19" s="104"/>
      <c r="K19" s="104"/>
      <c r="L19" s="104"/>
      <c r="M19" s="4"/>
      <c r="N19" s="4"/>
      <c r="O19" s="34"/>
      <c r="P19" s="34"/>
      <c r="Q19" s="34"/>
      <c r="R19" s="34"/>
      <c r="S19" s="100"/>
      <c r="T19" s="100"/>
      <c r="U19" s="100"/>
      <c r="V19" s="100"/>
      <c r="W19" s="108"/>
      <c r="X19" s="109"/>
      <c r="Y19" s="109"/>
      <c r="Z19" s="230"/>
      <c r="AA19" s="231"/>
    </row>
    <row r="20" spans="1:27" x14ac:dyDescent="0.25">
      <c r="A20" s="4"/>
      <c r="B20" s="6" t="s">
        <v>244</v>
      </c>
      <c r="C20" s="3" t="s">
        <v>274</v>
      </c>
      <c r="D20" s="6"/>
      <c r="E20" s="6" t="s">
        <v>275</v>
      </c>
      <c r="F20" s="6" t="s">
        <v>246</v>
      </c>
      <c r="G20" s="6" t="s">
        <v>276</v>
      </c>
      <c r="H20" s="5" t="s">
        <v>248</v>
      </c>
      <c r="I20" s="93" t="s">
        <v>249</v>
      </c>
      <c r="J20" s="93" t="s">
        <v>250</v>
      </c>
      <c r="K20" s="6"/>
      <c r="L20" s="6"/>
      <c r="M20" s="4"/>
      <c r="N20" s="4"/>
      <c r="O20" s="34"/>
      <c r="P20" s="34"/>
      <c r="Q20" s="34"/>
      <c r="R20" s="34"/>
      <c r="S20" s="100"/>
      <c r="T20" s="100"/>
      <c r="U20" s="100"/>
      <c r="V20" s="100"/>
      <c r="W20" s="108"/>
      <c r="X20" s="109"/>
      <c r="Y20" s="109"/>
      <c r="Z20" s="230"/>
      <c r="AA20" s="231"/>
    </row>
    <row r="21" spans="1:27" x14ac:dyDescent="0.25">
      <c r="A21" s="4"/>
      <c r="B21" s="104"/>
      <c r="C21" s="4"/>
      <c r="D21" s="104"/>
      <c r="E21" s="6" t="s">
        <v>277</v>
      </c>
      <c r="F21" s="104"/>
      <c r="G21" s="104"/>
      <c r="H21" s="4"/>
      <c r="I21" s="96"/>
      <c r="J21" s="93" t="s">
        <v>253</v>
      </c>
      <c r="K21" s="6" t="s">
        <v>254</v>
      </c>
      <c r="L21" s="6" t="s">
        <v>255</v>
      </c>
      <c r="M21" s="4"/>
      <c r="N21" s="4"/>
      <c r="O21" s="34"/>
      <c r="P21" s="34"/>
      <c r="Q21" s="34"/>
      <c r="R21" s="34"/>
      <c r="S21" s="100"/>
      <c r="T21" s="100"/>
      <c r="U21" s="100"/>
      <c r="V21" s="100"/>
      <c r="W21" s="108"/>
      <c r="X21" s="109"/>
      <c r="Y21" s="109"/>
      <c r="Z21" s="230"/>
      <c r="AA21" s="231"/>
    </row>
    <row r="22" spans="1:27" x14ac:dyDescent="0.25">
      <c r="A22" s="4" t="str">
        <f>HLOOKUP("Class",'Ft Weapons'!$B$61:$P$73,$S22,FALSE)</f>
        <v>Crossbows</v>
      </c>
      <c r="B22" s="107">
        <v>3</v>
      </c>
      <c r="C22" s="101" t="s">
        <v>278</v>
      </c>
      <c r="D22" s="104"/>
      <c r="E22" s="4">
        <f>HLOOKUP("Eff.Range",'Ft Weapons'!$A$61:$P$73,S22,FALSE)</f>
        <v>450</v>
      </c>
      <c r="F22" s="120">
        <f ca="1">5*(FtL+O22+T22+U22+IF(B22&lt;3,B22-1,2*(B22-2)+1)+HLOOKUP(A22,SMs!$A$4:$BG$35,'Characteristics &amp; Experience'!$G$45,FALSE)+W22)</f>
        <v>25.5</v>
      </c>
      <c r="G22" s="6" t="str">
        <f ca="1">IF(A22="Crossbows",IF(T22&lt;0,"St&lt;StN",IF(T22&lt;1,2-T22,1)))</f>
        <v>St&lt;StN</v>
      </c>
      <c r="H22" s="14" t="str">
        <f>HLOOKUP("DAM",'Ft Weapons'!$B$61:$P$73,$S22,FALSE)</f>
        <v>2d6</v>
      </c>
      <c r="I22" s="278">
        <f>P22+Q22</f>
        <v>0</v>
      </c>
      <c r="J22" s="104">
        <f>HLOOKUP(J$10,'Ft Weapons'!$B$61:$P$73,$S22,FALSE)+$Q22</f>
        <v>0</v>
      </c>
      <c r="K22" s="104">
        <f>HLOOKUP(K$10,'Ft Weapons'!$B$61:$P$73,$S22,FALSE)+$Q22</f>
        <v>0</v>
      </c>
      <c r="L22" s="104">
        <f>HLOOKUP(L$10,'Ft Weapons'!$B$61:$P$73,$S22,FALSE)+$Q22</f>
        <v>-1</v>
      </c>
      <c r="M22" s="4"/>
      <c r="N22" s="4"/>
      <c r="O22" s="219"/>
      <c r="P22" s="219"/>
      <c r="Q22" s="219"/>
      <c r="R22" s="219"/>
      <c r="S22" s="215">
        <f>MATCH($C22,'Ft Weapons'!$B$61:$B$73,0)</f>
        <v>10</v>
      </c>
      <c r="T22" s="215">
        <f ca="1">VLOOKUP(HLOOKUP("StN",'Ft Weapons'!$B$61:$P$73,$S22,FALSE),'Ft St &amp; DxN'!$A$5:$AA$26, St+2+IF(Switch_Weapon_Shield_Hands="Yes",Hd,0), FALSE)</f>
        <v>-7</v>
      </c>
      <c r="U22" s="215">
        <f ca="1">VLOOKUP(HLOOKUP("DxN",'Ft Weapons'!$B$61:$P$73,$S22,FALSE),'Ft St &amp; DxN'!$A$5:$AA$26, Dx_Ph+2+IF(Switch_Weapon_Shield_Hands="Yes",Hd,0)+Dx_Ph_Penalty, FALSE)</f>
        <v>-3</v>
      </c>
      <c r="V22" s="215">
        <f>HLOOKUP(V$12,'Ft Weapons'!$B$61:$P$73,$S22,FALSE)</f>
        <v>75</v>
      </c>
      <c r="W22" s="215">
        <f>HLOOKUP(W$12,'Ft Weapons'!$B$61:$P$73,$S22,FALSE)</f>
        <v>5</v>
      </c>
      <c r="X22" s="216">
        <f>HLOOKUP("Av DAM",'Ft Weapons'!$B$61:$P$73,$S22,FALSE)+I22</f>
        <v>7</v>
      </c>
      <c r="Y22" s="216">
        <f>X22+L22</f>
        <v>6</v>
      </c>
      <c r="Z22" s="229">
        <f>COUNTIF($A$13:A22,A22)</f>
        <v>1</v>
      </c>
      <c r="AA22" s="228">
        <f>IF(Z22&gt;1,0,IF(B22&lt;2, 0, 1+(B22-1)*(B22-2)/2))</f>
        <v>2</v>
      </c>
    </row>
    <row r="23" spans="1:27" x14ac:dyDescent="0.25">
      <c r="A23" s="4"/>
      <c r="B23" s="104"/>
      <c r="C23" s="4"/>
      <c r="D23" s="104"/>
      <c r="E23" s="4"/>
      <c r="F23" s="104"/>
      <c r="G23" s="104"/>
      <c r="H23" s="14"/>
      <c r="I23" s="96"/>
      <c r="J23" s="104"/>
      <c r="K23" s="104"/>
      <c r="L23" s="104"/>
      <c r="M23" s="4"/>
      <c r="N23" s="4"/>
      <c r="O23" s="34"/>
      <c r="P23" s="34"/>
      <c r="Q23" s="34"/>
      <c r="R23" s="34"/>
      <c r="S23" s="100"/>
      <c r="T23" s="100"/>
      <c r="U23" s="100"/>
      <c r="V23" s="100"/>
      <c r="W23" s="108"/>
      <c r="X23" s="109"/>
      <c r="Y23" s="109"/>
      <c r="Z23" s="230"/>
      <c r="AA23" s="231"/>
    </row>
    <row r="24" spans="1:27" x14ac:dyDescent="0.25">
      <c r="A24" s="4"/>
      <c r="B24" s="6" t="s">
        <v>244</v>
      </c>
      <c r="C24" s="3" t="s">
        <v>279</v>
      </c>
      <c r="D24" s="6"/>
      <c r="E24" s="6" t="s">
        <v>275</v>
      </c>
      <c r="F24" s="6" t="s">
        <v>246</v>
      </c>
      <c r="G24" s="6" t="s">
        <v>276</v>
      </c>
      <c r="H24" s="5" t="s">
        <v>248</v>
      </c>
      <c r="I24" s="93" t="s">
        <v>249</v>
      </c>
      <c r="J24" s="93" t="s">
        <v>250</v>
      </c>
      <c r="K24" s="6"/>
      <c r="L24" s="6"/>
      <c r="M24" s="4"/>
      <c r="N24" s="4"/>
      <c r="O24" s="34"/>
      <c r="P24" s="34"/>
      <c r="Q24" s="34"/>
      <c r="R24" s="34"/>
      <c r="S24" s="34" t="s">
        <v>258</v>
      </c>
      <c r="T24" s="34" t="s">
        <v>23</v>
      </c>
      <c r="U24" s="34" t="s">
        <v>259</v>
      </c>
      <c r="V24" s="34"/>
      <c r="W24" s="27"/>
      <c r="X24" s="34" t="s">
        <v>260</v>
      </c>
      <c r="Y24" s="100" t="s">
        <v>261</v>
      </c>
      <c r="Z24" s="230"/>
      <c r="AA24" s="231"/>
    </row>
    <row r="25" spans="1:27" x14ac:dyDescent="0.25">
      <c r="A25" s="4"/>
      <c r="B25" s="104"/>
      <c r="C25" s="4"/>
      <c r="D25" s="104"/>
      <c r="E25" s="6" t="s">
        <v>277</v>
      </c>
      <c r="F25" s="104"/>
      <c r="G25" s="104"/>
      <c r="H25" s="14"/>
      <c r="I25" s="96"/>
      <c r="J25" s="93" t="s">
        <v>253</v>
      </c>
      <c r="K25" s="6" t="s">
        <v>254</v>
      </c>
      <c r="L25" s="6" t="s">
        <v>255</v>
      </c>
      <c r="M25" s="4"/>
      <c r="N25" s="4"/>
      <c r="O25" s="34"/>
      <c r="P25" s="34"/>
      <c r="Q25" s="34"/>
      <c r="R25" s="34"/>
      <c r="S25" s="34" t="s">
        <v>264</v>
      </c>
      <c r="T25" s="34" t="s">
        <v>265</v>
      </c>
      <c r="U25" s="34" t="s">
        <v>265</v>
      </c>
      <c r="V25" s="94" t="s">
        <v>266</v>
      </c>
      <c r="W25" s="106" t="s">
        <v>745</v>
      </c>
      <c r="X25" s="34" t="s">
        <v>267</v>
      </c>
      <c r="Y25" s="100" t="s">
        <v>268</v>
      </c>
      <c r="Z25" s="230"/>
      <c r="AA25" s="231"/>
    </row>
    <row r="26" spans="1:27" ht="16.5" x14ac:dyDescent="0.3">
      <c r="A26" s="4" t="str">
        <f>HLOOKUP("Class",'Ft Weapons'!$B$75:$P$90,$S26,FALSE)</f>
        <v>Knives</v>
      </c>
      <c r="B26" s="107">
        <v>2</v>
      </c>
      <c r="C26" s="101" t="s">
        <v>280</v>
      </c>
      <c r="D26" s="222" t="s">
        <v>992</v>
      </c>
      <c r="E26" s="4">
        <f>HLOOKUP("Eff.Range",'Ft Weapons'!$A$75:$P$90,S26,FALSE)</f>
        <v>30</v>
      </c>
      <c r="F26" s="120">
        <f ca="1">5*(FtL+O26+T26+U26+IF(B26&lt;3,B26-1,2*(B26-2)+1)+HLOOKUP(A26,SMs!$A$4:$BG$35,'Characteristics &amp; Experience'!$G$45,FALSE)+W26)</f>
        <v>40.5</v>
      </c>
      <c r="G26" s="104">
        <f>1</f>
        <v>1</v>
      </c>
      <c r="H26" s="14" t="str">
        <f>HLOOKUP("DAM",'Ft Weapons'!$B$75:$P$90,$S26,FALSE)</f>
        <v>d4+1</v>
      </c>
      <c r="I26" s="278">
        <f ca="1">IF(P26="",0,P26)+Q26+T26</f>
        <v>0</v>
      </c>
      <c r="J26" s="104">
        <f>HLOOKUP(J$10,'Ft Weapons'!$B$75:$P$90,$S26,FALSE)+$Q26</f>
        <v>-1</v>
      </c>
      <c r="K26" s="104">
        <f>HLOOKUP(K$10,'Ft Weapons'!$B$75:$P$90,$S26,FALSE)+$Q26</f>
        <v>-2</v>
      </c>
      <c r="L26" s="104">
        <f>HLOOKUP(L$10,'Ft Weapons'!$B$75:$P$90,$S26,FALSE)+$Q26</f>
        <v>-3</v>
      </c>
      <c r="M26" s="4"/>
      <c r="N26" s="4"/>
      <c r="O26" s="271"/>
      <c r="P26" s="214" t="str">
        <f>IF(LEFT(D26,2)="ML",HLOOKUP(P$12,'Ft Weapons'!$B$75:$P$89,$S26,FALSE),"")</f>
        <v/>
      </c>
      <c r="Q26" s="273"/>
      <c r="R26" s="219"/>
      <c r="S26" s="215">
        <f>MATCH($C26,'Ft Weapons'!$B$75:$B$90,0)</f>
        <v>4</v>
      </c>
      <c r="T26" s="215">
        <f ca="1">VLOOKUP(HLOOKUP("StN",'Ft Weapons'!$B$75:$P$90,$S26,FALSE),'Ft St &amp; DxN'!$A$5:$AA$26, St+2+IF(Switch_Weapon_Shield_Hands="Yes",Hd,0), FALSE)</f>
        <v>0</v>
      </c>
      <c r="U26" s="215">
        <f ca="1">VLOOKUP(HLOOKUP("DxN",'Ft Weapons'!$B$75:$P$90,$S26,FALSE),'Ft St &amp; DxN'!$A$5:$AA$26, Dx_Ph+2+IF(Switch_Weapon_Shield_Hands="Yes",Hd,0)+Dx_Ph_Penalty, FALSE)</f>
        <v>-4</v>
      </c>
      <c r="V26" s="215">
        <f>HLOOKUP(V$12,'Ft Weapons'!$B$75:$P$90,$S26,FALSE)</f>
        <v>20</v>
      </c>
      <c r="W26" s="215">
        <f>HLOOKUP(W$12,'Ft Weapons'!$B$75:$P$89,$S26,FALSE)</f>
        <v>4</v>
      </c>
      <c r="X26" s="216">
        <f ca="1">HLOOKUP("Av DAM",'Ft Weapons'!$B$75:$P$90,$S26,FALSE)+I26</f>
        <v>3.5</v>
      </c>
      <c r="Y26" s="216">
        <f ca="1">X26+L26</f>
        <v>0.5</v>
      </c>
      <c r="Z26" s="229">
        <f>COUNTIF($A$13:A26,A26)</f>
        <v>1</v>
      </c>
      <c r="AA26" s="228">
        <f>IF(Z26&gt;1,0,IF(B26&lt;2, 0, 1+(B26-1)*(B26-2)/2))</f>
        <v>1</v>
      </c>
    </row>
    <row r="27" spans="1:27" ht="16.5" x14ac:dyDescent="0.3">
      <c r="A27" s="4" t="str">
        <f>HLOOKUP("Class",'Ft Weapons'!$B$75:$P$90,$S27,FALSE)</f>
        <v>Axes</v>
      </c>
      <c r="B27" s="107">
        <v>1</v>
      </c>
      <c r="C27" s="101" t="s">
        <v>1347</v>
      </c>
      <c r="D27" s="222" t="s">
        <v>994</v>
      </c>
      <c r="E27" s="4">
        <f>HLOOKUP("Eff.Range",'Ft Weapons'!$A$75:$P$90,S27,FALSE)</f>
        <v>60</v>
      </c>
      <c r="F27" s="120">
        <f ca="1">5*(FtL+O27+T27+U27+IF(B27&lt;3,B27-1,2*(B27-2)+1)+HLOOKUP(A27,SMs!$A$4:$BG$35,'Characteristics &amp; Experience'!$G$45,FALSE)+W27)</f>
        <v>10.499999999999998</v>
      </c>
      <c r="G27" s="104">
        <f>1</f>
        <v>1</v>
      </c>
      <c r="H27" s="14" t="str">
        <f>HLOOKUP("DAM",'Ft Weapons'!$B$75:$P$90,$S27,FALSE)</f>
        <v>d6</v>
      </c>
      <c r="I27" s="278">
        <f ca="1">IF(P27="",0,P27)+Q27+T27</f>
        <v>0</v>
      </c>
      <c r="J27" s="104">
        <f>HLOOKUP(J$10,'Ft Weapons'!$B$75:$P$90,$S27,FALSE)+$Q27</f>
        <v>0</v>
      </c>
      <c r="K27" s="104">
        <f>HLOOKUP(K$10,'Ft Weapons'!$B$75:$P$90,$S27,FALSE)+$Q27</f>
        <v>-1</v>
      </c>
      <c r="L27" s="104">
        <f>HLOOKUP(L$10,'Ft Weapons'!$B$75:$P$90,$S27,FALSE)+$Q27</f>
        <v>-2</v>
      </c>
      <c r="M27" s="4"/>
      <c r="N27" s="4"/>
      <c r="O27" s="272"/>
      <c r="P27" s="214">
        <f>IF(LEFT(D27,2)="ML",HLOOKUP(P$12,'Ft Weapons'!$B$75:$P$89,$S27,FALSE),"")</f>
        <v>1</v>
      </c>
      <c r="Q27" s="274"/>
      <c r="R27" s="219"/>
      <c r="S27" s="215">
        <f>MATCH($C27,'Ft Weapons'!$B$75:$B$90,0)</f>
        <v>5</v>
      </c>
      <c r="T27" s="215">
        <f ca="1">VLOOKUP(HLOOKUP("StN",'Ft Weapons'!$B$75:$P$90,$S27,FALSE),'Ft St &amp; DxN'!$A$5:$AA$26, St+2, FALSE)</f>
        <v>-1</v>
      </c>
      <c r="U27" s="215">
        <f ca="1">VLOOKUP(HLOOKUP("DxN",'Ft Weapons'!$B$75:$P$90,$S27,FALSE),'Ft St &amp; DxN'!$A$5:$AA$26, Dx_Ph+2+IF(Switch_Weapon_Shield_Hands="Yes",Hd,0)+Dx_Ph_Penalty, FALSE)</f>
        <v>-4</v>
      </c>
      <c r="V27" s="215">
        <f>HLOOKUP(V$12,'Ft Weapons'!$B$75:$P$90,$S27,FALSE)</f>
        <v>50</v>
      </c>
      <c r="W27" s="215">
        <f>HLOOKUP(W$12,'Ft Weapons'!$B$75:$P$89,$S27,FALSE)</f>
        <v>0</v>
      </c>
      <c r="X27" s="216">
        <f ca="1">HLOOKUP("Av DAM",'Ft Weapons'!$B$75:$P$90,$S27,FALSE)+I27</f>
        <v>3.5</v>
      </c>
      <c r="Y27" s="216">
        <f ca="1">X27+L27</f>
        <v>1.5</v>
      </c>
      <c r="Z27" s="229">
        <f>COUNTIF($A$13:A27,A27)</f>
        <v>2</v>
      </c>
      <c r="AA27" s="228">
        <f>IF(Z27&gt;1,0,IF(B27&lt;2, 0, 1+(B27-1)*(B27-2)/2))</f>
        <v>0</v>
      </c>
    </row>
    <row r="28" spans="1:27" x14ac:dyDescent="0.25">
      <c r="A28" s="4"/>
      <c r="B28" s="107">
        <v>1</v>
      </c>
      <c r="C28" s="101" t="s">
        <v>773</v>
      </c>
      <c r="D28" s="4"/>
      <c r="E28" s="4"/>
      <c r="F28" s="4"/>
      <c r="G28" s="4"/>
      <c r="H28" s="14"/>
      <c r="I28" s="104"/>
      <c r="J28" s="104"/>
      <c r="K28" s="4"/>
      <c r="L28" s="4"/>
      <c r="M28" s="4"/>
      <c r="N28" s="4"/>
      <c r="O28" s="219"/>
      <c r="P28" s="219"/>
      <c r="Q28" s="219"/>
      <c r="R28" s="219"/>
      <c r="S28" s="220"/>
      <c r="T28" s="220"/>
      <c r="U28" s="215"/>
      <c r="V28" s="219"/>
      <c r="W28" s="219"/>
      <c r="X28" s="219"/>
      <c r="Y28" s="215"/>
      <c r="Z28" s="229"/>
      <c r="AA28" s="228"/>
    </row>
    <row r="29" spans="1:27" x14ac:dyDescent="0.25">
      <c r="A29" s="4"/>
      <c r="B29" s="4"/>
      <c r="C29" s="104"/>
      <c r="D29" s="4"/>
      <c r="E29" s="4"/>
      <c r="F29" s="4"/>
      <c r="G29" s="4"/>
      <c r="H29" s="14"/>
      <c r="I29" s="104"/>
      <c r="J29" s="104"/>
      <c r="K29" s="4"/>
      <c r="L29" s="4"/>
      <c r="M29" s="4"/>
      <c r="N29" s="4"/>
      <c r="O29" s="34"/>
      <c r="P29" s="34"/>
      <c r="Q29" s="217"/>
      <c r="R29" s="217"/>
      <c r="S29" s="218"/>
      <c r="T29" s="218"/>
      <c r="U29" s="221"/>
      <c r="V29" s="34"/>
      <c r="W29" s="20"/>
      <c r="X29" s="20"/>
      <c r="Y29" s="36"/>
      <c r="Z29" s="223" t="s">
        <v>1341</v>
      </c>
      <c r="AA29" s="224">
        <f>SUM(AA13:AA28)</f>
        <v>6</v>
      </c>
    </row>
    <row r="30" spans="1:27" x14ac:dyDescent="0.25">
      <c r="A30" s="3" t="s">
        <v>282</v>
      </c>
      <c r="B30" s="3" t="s">
        <v>283</v>
      </c>
      <c r="C30" s="104"/>
      <c r="D30" s="4"/>
      <c r="E30" s="5" t="s">
        <v>1350</v>
      </c>
      <c r="F30" s="3" t="str">
        <f>VLOOKUP("Digits",'Size &amp; Armour'!$A$11:$Z$40,12,FALSE)</f>
        <v>1234567890</v>
      </c>
      <c r="G30" s="6" t="s">
        <v>285</v>
      </c>
      <c r="H30" s="6" t="s">
        <v>266</v>
      </c>
      <c r="I30" s="259" t="s">
        <v>1351</v>
      </c>
      <c r="K30" s="4"/>
      <c r="L30" s="4"/>
      <c r="M30" s="4"/>
      <c r="N30" s="4"/>
      <c r="O30" s="34"/>
      <c r="P30" s="34"/>
      <c r="Q30" s="34"/>
      <c r="R30" s="34"/>
      <c r="S30" s="34"/>
      <c r="T30" s="34"/>
      <c r="U30" s="34"/>
      <c r="V30" s="34"/>
      <c r="W30" s="34"/>
      <c r="X30" s="34"/>
      <c r="Y30" s="34"/>
      <c r="Z30" s="94"/>
      <c r="AA30" s="94"/>
    </row>
    <row r="31" spans="1:27" x14ac:dyDescent="0.25">
      <c r="A31" s="4" t="str">
        <f>INDEX('Size &amp; Armour'!$A$1:$Z$6,2,1)</f>
        <v>Head</v>
      </c>
      <c r="B31" s="4" t="str">
        <f ca="1">INDEX('Size &amp; Armour'!$A$1:$Z$6,2,Sz+2)</f>
        <v>01 to 07</v>
      </c>
      <c r="C31" s="104"/>
      <c r="D31" s="118"/>
      <c r="E31" s="119" t="s">
        <v>286</v>
      </c>
      <c r="F31" s="4" t="str">
        <f>VLOOKUP($E31,'Size &amp; Armour'!$A$11:$Z$40,12,FALSE)</f>
        <v>5432222345</v>
      </c>
      <c r="G31" s="121"/>
      <c r="H31" s="104">
        <f>VLOOKUP($E31,'Size &amp; Armour'!$A$11:$Z$40,MATCH($A31,'Size &amp; Armour'!$A$10:$Z$10,FALSE),FALSE)</f>
        <v>75</v>
      </c>
      <c r="K31" s="4"/>
      <c r="L31" s="4"/>
      <c r="M31" s="4"/>
      <c r="N31" s="4"/>
      <c r="O31" s="34"/>
      <c r="P31" s="34"/>
      <c r="Q31" s="34"/>
      <c r="R31" s="34"/>
      <c r="S31" s="34"/>
      <c r="T31" s="34"/>
      <c r="U31" s="34"/>
      <c r="V31" s="34"/>
      <c r="W31" s="34"/>
      <c r="X31" s="34"/>
      <c r="Y31" s="34"/>
      <c r="Z31" s="94"/>
      <c r="AA31" s="94"/>
    </row>
    <row r="32" spans="1:27" x14ac:dyDescent="0.25">
      <c r="A32" s="4" t="s">
        <v>287</v>
      </c>
      <c r="B32" s="4" t="str">
        <f ca="1">INDEX('Size &amp; Armour'!$A$1:$Z$6,3,Sz+2)</f>
        <v>08 to 22</v>
      </c>
      <c r="C32" s="104"/>
      <c r="D32" s="118"/>
      <c r="E32" s="118" t="s">
        <v>288</v>
      </c>
      <c r="F32" s="4" t="str">
        <f>VLOOKUP($E32,'Size &amp; Armour'!$A$11:$Z$40,12,FALSE)</f>
        <v>2211111122</v>
      </c>
      <c r="G32" s="121"/>
      <c r="H32" s="104">
        <f>VLOOKUP($E32,'Size &amp; Armour'!$A$11:$Z$40,MATCH($A32,'Size &amp; Armour'!$A$10:$Z$10,FALSE),FALSE)</f>
        <v>35</v>
      </c>
      <c r="K32" s="4"/>
      <c r="L32" s="4"/>
      <c r="M32" s="4"/>
      <c r="N32" s="4"/>
      <c r="O32" s="34"/>
      <c r="P32" s="34"/>
      <c r="Q32" s="34"/>
      <c r="R32" s="34"/>
      <c r="S32" s="34"/>
      <c r="T32" s="34"/>
      <c r="U32" s="34"/>
      <c r="V32" s="34"/>
      <c r="W32" s="34"/>
      <c r="X32" s="34"/>
      <c r="Y32" s="34"/>
      <c r="Z32" s="94"/>
      <c r="AA32" s="94"/>
    </row>
    <row r="33" spans="1:29" x14ac:dyDescent="0.25">
      <c r="A33" s="4" t="s">
        <v>289</v>
      </c>
      <c r="B33" s="4" t="str">
        <f ca="1">INDEX('Size &amp; Armour'!$A$1:$Z$6,3,Sz+2)</f>
        <v>08 to 22</v>
      </c>
      <c r="C33" s="104"/>
      <c r="D33" s="118"/>
      <c r="E33" s="118" t="s">
        <v>288</v>
      </c>
      <c r="F33" s="4" t="str">
        <f>VLOOKUP($E33,'Size &amp; Armour'!$A$11:$Z$40,12,FALSE)</f>
        <v>2211111122</v>
      </c>
      <c r="G33" s="121"/>
      <c r="H33" s="104">
        <f>VLOOKUP($E33,'Size &amp; Armour'!$A$11:$Z$40,MATCH($A33,'Size &amp; Armour'!$A$10:$Z$10,FALSE),FALSE)</f>
        <v>35</v>
      </c>
      <c r="K33" s="4"/>
      <c r="L33" s="4"/>
      <c r="M33" s="4"/>
      <c r="N33" s="4"/>
      <c r="O33" s="34"/>
      <c r="P33" s="34"/>
      <c r="Q33" s="34"/>
      <c r="R33" s="34"/>
      <c r="S33" s="34"/>
      <c r="T33" s="34"/>
      <c r="U33" s="34"/>
      <c r="V33" s="34"/>
      <c r="W33" s="34"/>
      <c r="X33" s="34"/>
      <c r="Y33" s="34"/>
      <c r="Z33" s="94"/>
      <c r="AA33" s="94"/>
    </row>
    <row r="34" spans="1:29" x14ac:dyDescent="0.25">
      <c r="A34" s="4" t="str">
        <f>INDEX('Size &amp; Armour'!$A$1:$Z$6,4,1)</f>
        <v>Chest</v>
      </c>
      <c r="B34" s="4" t="str">
        <f ca="1">INDEX('Size &amp; Armour'!$A$1:$Z$6,4,Sz+2)</f>
        <v>23 to 45</v>
      </c>
      <c r="C34" s="104"/>
      <c r="D34" s="118"/>
      <c r="E34" s="118" t="s">
        <v>290</v>
      </c>
      <c r="F34" s="4" t="str">
        <f>VLOOKUP($E34,'Size &amp; Armour'!$A$11:$Z$40,12,FALSE)</f>
        <v>5432222345</v>
      </c>
      <c r="G34" s="121"/>
      <c r="H34" s="104">
        <f>VLOOKUP($E34,'Size &amp; Armour'!$A$11:$Z$40,MATCH($A34,'Size &amp; Armour'!$A$10:$Z$10,FALSE),FALSE)</f>
        <v>215</v>
      </c>
      <c r="K34" s="4"/>
      <c r="L34" s="4"/>
      <c r="M34" s="4"/>
      <c r="N34" s="4"/>
      <c r="O34" s="34"/>
      <c r="P34" s="34"/>
      <c r="Q34" s="34"/>
      <c r="R34" s="34"/>
      <c r="S34" s="34"/>
      <c r="T34" s="34"/>
      <c r="U34" s="34"/>
      <c r="V34" s="34"/>
      <c r="W34" s="34"/>
      <c r="X34" s="34"/>
      <c r="Y34" s="34"/>
      <c r="Z34" s="94"/>
      <c r="AA34" s="94"/>
    </row>
    <row r="35" spans="1:29" x14ac:dyDescent="0.25">
      <c r="A35" s="4" t="str">
        <f>INDEX('Size &amp; Armour'!$A$1:$Z$6,5,1)</f>
        <v>Abdomen</v>
      </c>
      <c r="B35" s="4" t="str">
        <f ca="1">INDEX('Size &amp; Armour'!$A$1:$Z$6,5,Sz+2)</f>
        <v>46 to 60</v>
      </c>
      <c r="C35" s="104"/>
      <c r="D35" s="118"/>
      <c r="E35" s="118" t="s">
        <v>288</v>
      </c>
      <c r="F35" s="4" t="str">
        <f>VLOOKUP($E35,'Size &amp; Armour'!$A$11:$Z$40,12,FALSE)</f>
        <v>2211111122</v>
      </c>
      <c r="G35" s="121"/>
      <c r="H35" s="104">
        <f>VLOOKUP($E35,'Size &amp; Armour'!$A$11:$Z$40,MATCH($A35,'Size &amp; Armour'!$A$10:$Z$10,FALSE),FALSE)</f>
        <v>35</v>
      </c>
      <c r="K35" s="4"/>
      <c r="L35" s="4"/>
      <c r="M35" s="4"/>
      <c r="N35" s="4"/>
      <c r="O35" s="34"/>
      <c r="P35" s="34"/>
      <c r="Q35" s="34"/>
      <c r="R35" s="34"/>
      <c r="S35" s="34"/>
      <c r="T35" s="34"/>
      <c r="U35" s="34"/>
      <c r="V35" s="34"/>
      <c r="W35" s="34"/>
      <c r="X35" s="34"/>
      <c r="Y35" s="34"/>
      <c r="Z35" s="94"/>
      <c r="AA35" s="94"/>
    </row>
    <row r="36" spans="1:29" x14ac:dyDescent="0.25">
      <c r="A36" s="4" t="s">
        <v>291</v>
      </c>
      <c r="B36" s="4" t="str">
        <f ca="1">INDEX('Size &amp; Armour'!$A$1:$Z$6,6,Sz+2)</f>
        <v>61 to 75</v>
      </c>
      <c r="C36" s="104"/>
      <c r="D36" s="118"/>
      <c r="E36" s="118" t="s">
        <v>288</v>
      </c>
      <c r="F36" s="4" t="str">
        <f>VLOOKUP($E36,'Size &amp; Armour'!$A$11:$Z$40,12,FALSE)</f>
        <v>2211111122</v>
      </c>
      <c r="G36" s="121"/>
      <c r="H36" s="104">
        <f>VLOOKUP($E36,'Size &amp; Armour'!$A$11:$Z$40,MATCH($A36,'Size &amp; Armour'!$A$10:$Z$10,FALSE),FALSE)</f>
        <v>35</v>
      </c>
      <c r="K36" s="4"/>
      <c r="L36" s="4"/>
      <c r="M36" s="4"/>
      <c r="N36" s="4"/>
      <c r="O36" s="34"/>
      <c r="P36" s="34"/>
      <c r="Q36" s="34"/>
      <c r="R36" s="34"/>
      <c r="S36" s="34"/>
      <c r="T36" s="34"/>
      <c r="U36" s="34"/>
      <c r="V36" s="34"/>
      <c r="W36" s="34"/>
      <c r="X36" s="34"/>
      <c r="Y36" s="34"/>
      <c r="Z36" s="94"/>
      <c r="AA36" s="94"/>
    </row>
    <row r="37" spans="1:29" x14ac:dyDescent="0.25">
      <c r="A37" s="4" t="s">
        <v>292</v>
      </c>
      <c r="B37" s="4" t="str">
        <f ca="1">INDEX('Size &amp; Armour'!$A$1:$Z$6,6,Sz+2)</f>
        <v>61 to 75</v>
      </c>
      <c r="C37" s="104"/>
      <c r="D37" s="256"/>
      <c r="E37" s="256" t="s">
        <v>288</v>
      </c>
      <c r="F37" s="243" t="str">
        <f>VLOOKUP($E37,'Size &amp; Armour'!$A$11:$Z$40,12,FALSE)</f>
        <v>2211111122</v>
      </c>
      <c r="G37" s="257"/>
      <c r="H37" s="258">
        <f>VLOOKUP($E37,'Size &amp; Armour'!$A$11:$Z$40,MATCH($A37,'Size &amp; Armour'!$A$10:$Z$10,FALSE),FALSE)</f>
        <v>35</v>
      </c>
      <c r="K37" s="4"/>
      <c r="L37" s="4"/>
      <c r="M37" s="4"/>
      <c r="N37" s="4"/>
      <c r="O37" s="34"/>
      <c r="P37" s="34"/>
      <c r="Q37" s="34"/>
      <c r="R37" s="34"/>
      <c r="S37" s="34"/>
      <c r="T37" s="34"/>
      <c r="U37" s="34"/>
      <c r="V37" s="34"/>
      <c r="W37" s="34"/>
      <c r="X37" s="34"/>
      <c r="Y37" s="34"/>
      <c r="Z37" s="94"/>
      <c r="AA37" s="94"/>
    </row>
    <row r="38" spans="1:29" ht="16.5" thickBot="1" x14ac:dyDescent="0.3">
      <c r="A38" s="4"/>
      <c r="B38" s="4"/>
      <c r="C38" s="254"/>
      <c r="D38" s="144"/>
      <c r="E38" s="144"/>
      <c r="F38" s="144"/>
      <c r="G38" s="145" t="s">
        <v>293</v>
      </c>
      <c r="H38" s="254">
        <f>SUM(H31:H37)</f>
        <v>465</v>
      </c>
      <c r="I38" s="253" t="str">
        <f>IF(H38&gt;300,"Hello!  &gt;300 wt pts of armour incurs Dx(Ph) Penalty","")</f>
        <v>Hello!  &gt;300 wt pts of armour incurs Dx(Ph) Penalty</v>
      </c>
      <c r="L38" s="4"/>
      <c r="M38" s="4"/>
      <c r="N38" s="4"/>
      <c r="O38" s="34"/>
      <c r="P38" s="34"/>
      <c r="Q38" s="34"/>
      <c r="R38" s="34"/>
      <c r="S38" s="34"/>
      <c r="T38" s="34"/>
      <c r="U38" s="34"/>
      <c r="V38" s="34"/>
      <c r="W38" s="34"/>
      <c r="X38" s="34"/>
      <c r="Y38" s="34"/>
      <c r="Z38" s="94"/>
      <c r="AA38" s="39"/>
    </row>
    <row r="39" spans="1:29" ht="16.5" thickBot="1" x14ac:dyDescent="0.3">
      <c r="A39" s="13"/>
      <c r="B39" s="13"/>
      <c r="C39" s="255"/>
      <c r="D39" s="146"/>
      <c r="E39" s="146"/>
      <c r="F39" s="146"/>
      <c r="G39" s="147" t="s">
        <v>1365</v>
      </c>
      <c r="H39" s="280" t="s">
        <v>1016</v>
      </c>
      <c r="K39" s="13"/>
      <c r="L39" s="13"/>
      <c r="M39" s="13"/>
      <c r="N39" s="13"/>
      <c r="O39" s="27"/>
      <c r="P39" s="27"/>
      <c r="Q39" s="27"/>
      <c r="R39" s="27"/>
      <c r="S39" s="27"/>
      <c r="T39" s="27"/>
      <c r="U39" s="27"/>
      <c r="V39" s="27"/>
      <c r="W39" s="27"/>
      <c r="X39" s="27"/>
      <c r="Y39" s="27"/>
      <c r="Z39" s="38"/>
      <c r="AA39" s="94"/>
    </row>
    <row r="40" spans="1:29" x14ac:dyDescent="0.25">
      <c r="A40" s="34"/>
      <c r="B40" s="34"/>
      <c r="C40" s="100"/>
      <c r="D40" s="34"/>
      <c r="E40" s="102"/>
      <c r="F40" s="34"/>
      <c r="G40" s="34"/>
      <c r="H40" s="34"/>
      <c r="I40" s="34"/>
      <c r="J40" s="34"/>
      <c r="K40" s="34"/>
      <c r="L40" s="34"/>
      <c r="M40" s="34"/>
      <c r="N40" s="34"/>
      <c r="O40" s="34"/>
      <c r="P40" s="34"/>
      <c r="Q40" s="34"/>
      <c r="R40" s="34"/>
      <c r="S40" s="34"/>
      <c r="T40" s="34"/>
      <c r="U40" s="34"/>
      <c r="V40" s="34"/>
      <c r="W40" s="34"/>
      <c r="X40" s="34"/>
      <c r="Y40" s="34"/>
      <c r="Z40" s="94"/>
      <c r="AA40" s="94"/>
    </row>
    <row r="41" spans="1:29" x14ac:dyDescent="0.25">
      <c r="A41" s="34"/>
      <c r="B41" s="34"/>
      <c r="C41" s="100"/>
      <c r="D41" s="34"/>
      <c r="E41" s="102"/>
      <c r="F41" s="34"/>
      <c r="G41" s="34"/>
      <c r="H41" s="34"/>
      <c r="I41" s="34"/>
      <c r="J41" s="34"/>
      <c r="K41" s="34"/>
      <c r="L41" s="34"/>
      <c r="M41" s="34"/>
      <c r="N41" s="34"/>
      <c r="O41" s="34"/>
      <c r="P41" s="34"/>
      <c r="Q41" s="34"/>
      <c r="R41" s="34"/>
      <c r="S41" s="34"/>
      <c r="T41" s="34"/>
      <c r="U41" s="34"/>
      <c r="V41" s="34"/>
      <c r="W41" s="34"/>
      <c r="X41" s="34"/>
      <c r="Y41" s="34"/>
      <c r="Z41" s="94"/>
      <c r="AA41" s="94"/>
    </row>
    <row r="42" spans="1:29" x14ac:dyDescent="0.25">
      <c r="A42" s="34"/>
      <c r="B42" s="34"/>
      <c r="C42" s="100"/>
      <c r="D42" s="34"/>
      <c r="E42" s="102"/>
      <c r="F42" s="34"/>
      <c r="G42" s="34"/>
      <c r="H42" s="34"/>
      <c r="I42" s="34"/>
      <c r="J42" s="34"/>
      <c r="K42" s="34"/>
      <c r="L42" s="34"/>
      <c r="M42" s="34"/>
      <c r="N42" s="34"/>
      <c r="O42" s="34"/>
      <c r="P42" s="34"/>
      <c r="Q42" s="34"/>
      <c r="R42" s="34"/>
      <c r="S42" s="34"/>
      <c r="T42" s="34"/>
      <c r="U42" s="34"/>
      <c r="V42" s="34"/>
      <c r="W42" s="34"/>
      <c r="X42" s="34"/>
      <c r="Y42" s="34"/>
      <c r="Z42" s="94"/>
      <c r="AA42" s="94"/>
    </row>
    <row r="43" spans="1:29" x14ac:dyDescent="0.25">
      <c r="A43" s="34"/>
      <c r="B43" s="34"/>
      <c r="C43" s="100"/>
      <c r="D43" s="34"/>
      <c r="E43" s="34"/>
      <c r="F43" s="34"/>
      <c r="G43" s="34"/>
      <c r="H43" s="34"/>
      <c r="I43" s="34"/>
      <c r="J43" s="34"/>
      <c r="K43" s="34"/>
      <c r="L43" s="34"/>
      <c r="M43" s="34"/>
      <c r="N43" s="34"/>
      <c r="O43" s="34"/>
      <c r="P43" s="34"/>
      <c r="Q43" s="34"/>
      <c r="R43" s="34"/>
      <c r="S43" s="34"/>
      <c r="T43" s="34"/>
      <c r="U43" s="34"/>
      <c r="V43" s="34"/>
      <c r="W43" s="34"/>
      <c r="X43" s="34"/>
      <c r="Y43" s="34"/>
      <c r="Z43" s="94"/>
      <c r="AA43" s="94"/>
    </row>
    <row r="44" spans="1:29" x14ac:dyDescent="0.25">
      <c r="A44" s="34"/>
      <c r="B44" s="34"/>
      <c r="C44" s="100"/>
      <c r="D44" s="34"/>
      <c r="E44" s="34"/>
      <c r="F44" s="34"/>
      <c r="G44" s="34"/>
      <c r="H44" s="34"/>
      <c r="I44" s="34"/>
      <c r="J44" s="34"/>
      <c r="K44" s="34"/>
      <c r="L44" s="34"/>
      <c r="M44" s="34"/>
      <c r="N44" s="34"/>
      <c r="O44" s="34"/>
      <c r="P44" s="34"/>
      <c r="Q44" s="34"/>
      <c r="R44" s="34"/>
      <c r="S44" s="34"/>
      <c r="T44" s="34"/>
      <c r="U44" s="34"/>
      <c r="V44" s="34"/>
      <c r="W44" s="34"/>
      <c r="X44" s="34"/>
      <c r="Y44" s="34"/>
      <c r="Z44" s="94"/>
      <c r="AA44" s="94"/>
    </row>
    <row r="45" spans="1:29" x14ac:dyDescent="0.25">
      <c r="A45" s="34"/>
      <c r="B45" s="34"/>
      <c r="C45" s="100"/>
      <c r="D45" s="34"/>
      <c r="E45" s="34"/>
      <c r="F45" s="34"/>
      <c r="G45" s="34"/>
      <c r="H45" s="34"/>
      <c r="I45" s="34"/>
      <c r="J45" s="34"/>
      <c r="K45" s="34"/>
      <c r="L45" s="34"/>
      <c r="M45" s="34"/>
      <c r="N45" s="34"/>
      <c r="O45" s="34"/>
      <c r="P45" s="34"/>
      <c r="Q45" s="34"/>
      <c r="R45" s="34"/>
      <c r="S45" s="34"/>
      <c r="T45" s="34"/>
      <c r="U45" s="34"/>
      <c r="V45" s="34"/>
      <c r="W45" s="34"/>
      <c r="X45" s="34"/>
      <c r="Y45" s="34"/>
      <c r="Z45" s="94"/>
      <c r="AA45" s="94"/>
    </row>
    <row r="46" spans="1:29" x14ac:dyDescent="0.25">
      <c r="A46" s="34"/>
      <c r="B46" s="34"/>
      <c r="C46" s="100"/>
      <c r="D46" s="34"/>
      <c r="E46" s="34"/>
      <c r="F46" s="34"/>
      <c r="G46" s="34"/>
      <c r="H46" s="34"/>
      <c r="I46" s="34"/>
      <c r="J46" s="34"/>
      <c r="K46" s="34"/>
      <c r="L46" s="34"/>
      <c r="M46" s="34"/>
      <c r="N46" s="34"/>
      <c r="O46" s="34"/>
      <c r="P46" s="34"/>
      <c r="Q46" s="34"/>
      <c r="R46" s="34"/>
      <c r="S46" s="34"/>
      <c r="T46" s="34"/>
      <c r="U46" s="34"/>
      <c r="V46" s="34"/>
      <c r="W46" s="34"/>
      <c r="X46" s="34"/>
      <c r="Y46" s="34"/>
      <c r="Z46" s="94"/>
      <c r="AA46" s="94"/>
    </row>
    <row r="47" spans="1:29" x14ac:dyDescent="0.25">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row>
    <row r="48" spans="1:29" x14ac:dyDescent="0.25">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row>
    <row r="49" spans="1:29" x14ac:dyDescent="0.25">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row>
    <row r="50" spans="1:29" x14ac:dyDescent="0.25">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row>
  </sheetData>
  <dataValidations count="3">
    <dataValidation type="list" allowBlank="1" showInputMessage="1" showErrorMessage="1" sqref="F4" xr:uid="{93F6B4E0-60E3-4E82-9CF2-D3AF2727DECC}">
      <formula1>"No, Yes"</formula1>
    </dataValidation>
    <dataValidation type="list" allowBlank="1" showInputMessage="1" showErrorMessage="1" sqref="D26:D27 D13:D18" xr:uid="{9474A569-EFB7-4E1E-9A9B-06EBE09E303E}">
      <formula1>"Std,MA,ML,ML+MA"</formula1>
    </dataValidation>
    <dataValidation type="list" allowBlank="1" showInputMessage="1" showErrorMessage="1" sqref="H39" xr:uid="{ED1CF597-FDDA-4578-A065-3AE1437E116A}">
      <formula1>"1 (Unarmoured),1 (Leather),1.5 (Scale),2 (Chainmail),3 (Ringmail),8 (Plate)"</formula1>
    </dataValidation>
  </dataValidations>
  <pageMargins left="0.7" right="0.7" top="0.75" bottom="0.75" header="0.3" footer="0.3"/>
  <pageSetup paperSize="9" orientation="portrait" horizontalDpi="0" verticalDpi="0"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4000000}">
          <x14:formula1>
            <xm:f>'Ft Weapons'!$B$64:$B$73</xm:f>
          </x14:formula1>
          <xm:sqref>C22</xm:sqref>
        </x14:dataValidation>
        <x14:dataValidation type="list" allowBlank="1" showInputMessage="1" showErrorMessage="1" xr:uid="{7ADB4666-8B5E-406F-B1CD-82FF393EA9F4}">
          <x14:formula1>
            <xm:f>'Ft Weapons'!$B$7:$B$59</xm:f>
          </x14:formula1>
          <xm:sqref>C13:C18</xm:sqref>
        </x14:dataValidation>
        <x14:dataValidation type="list" allowBlank="1" showInputMessage="1" showErrorMessage="1" xr:uid="{5ACAB2F0-64C1-4DC6-A0F7-B2AA572CB5F0}">
          <x14:formula1>
            <xm:f>'Ft Weapons'!$B$78:$B$90</xm:f>
          </x14:formula1>
          <xm:sqref>C26:C28</xm:sqref>
        </x14:dataValidation>
        <x14:dataValidation type="list" showInputMessage="1" showErrorMessage="1" xr:uid="{00000000-0002-0000-0200-000003000000}">
          <x14:formula1>
            <xm:f>'Size &amp; Armour'!$A$25:$A$40</xm:f>
          </x14:formula1>
          <xm:sqref>E31</xm:sqref>
        </x14:dataValidation>
        <x14:dataValidation type="list" showInputMessage="1" showErrorMessage="1" xr:uid="{00000000-0002-0000-0200-000002000000}">
          <x14:formula1>
            <xm:f>'Size &amp; Armour'!$A$12:$A$25</xm:f>
          </x14:formula1>
          <xm:sqref>E32:E37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6E800-B139-4E20-AEF7-38DFC300F41A}">
  <dimension ref="A1:Z151"/>
  <sheetViews>
    <sheetView workbookViewId="0">
      <selection activeCell="B1" sqref="B1"/>
    </sheetView>
  </sheetViews>
  <sheetFormatPr defaultRowHeight="15.75" x14ac:dyDescent="0.25"/>
  <cols>
    <col min="3" max="3" width="11.5" customWidth="1"/>
    <col min="8" max="8" width="6.125" customWidth="1"/>
    <col min="9" max="9" width="9.625" customWidth="1"/>
  </cols>
  <sheetData>
    <row r="1" spans="1:26" x14ac:dyDescent="0.25">
      <c r="A1" s="93" t="str">
        <f>Name</f>
        <v>Name</v>
      </c>
      <c r="D1" s="7" t="s">
        <v>45</v>
      </c>
      <c r="E1" s="1" t="str">
        <f>Date</f>
        <v>26 XIV 2505</v>
      </c>
      <c r="F1" s="8"/>
      <c r="G1" s="8"/>
      <c r="H1" s="7" t="s">
        <v>998</v>
      </c>
      <c r="I1" s="281">
        <f>-(INT(Encumbrance_Armour/300))</f>
        <v>-1</v>
      </c>
      <c r="J1" s="20"/>
      <c r="K1" s="20"/>
      <c r="L1" s="20"/>
      <c r="M1" s="20"/>
      <c r="N1" s="20"/>
      <c r="O1" s="20"/>
      <c r="P1" s="20"/>
      <c r="Q1" s="20"/>
      <c r="R1" s="20"/>
      <c r="S1" s="20"/>
      <c r="T1" s="20"/>
      <c r="U1" s="20"/>
      <c r="V1" s="20"/>
      <c r="W1" s="20"/>
      <c r="X1" s="20"/>
      <c r="Y1" s="20"/>
      <c r="Z1" s="20"/>
    </row>
    <row r="2" spans="1:26" x14ac:dyDescent="0.25">
      <c r="A2" s="3"/>
      <c r="D2" s="7"/>
      <c r="E2" s="8"/>
      <c r="F2" s="8"/>
      <c r="G2" s="8"/>
      <c r="H2" s="7" t="s">
        <v>1017</v>
      </c>
      <c r="I2" s="282">
        <f>INT((Encumbrance_Total/500)*(INT(Encumbrance_Total/500)+1)/2)</f>
        <v>1</v>
      </c>
      <c r="J2" s="20"/>
      <c r="K2" s="20"/>
      <c r="L2" s="20"/>
      <c r="M2" s="20"/>
      <c r="N2" s="20"/>
      <c r="O2" s="20"/>
      <c r="P2" s="20"/>
      <c r="Q2" s="20"/>
      <c r="R2" s="20"/>
      <c r="S2" s="20"/>
      <c r="T2" s="20"/>
      <c r="U2" s="20"/>
      <c r="V2" s="20"/>
      <c r="W2" s="20"/>
      <c r="X2" s="20"/>
      <c r="Y2" s="20"/>
      <c r="Z2" s="20"/>
    </row>
    <row r="3" spans="1:26" x14ac:dyDescent="0.25">
      <c r="A3" s="2" t="s">
        <v>106</v>
      </c>
      <c r="E3" s="8"/>
      <c r="F3" s="8"/>
      <c r="G3" s="8"/>
      <c r="H3" s="7" t="s">
        <v>1366</v>
      </c>
      <c r="I3" s="283" t="str">
        <f>'Fighter Abilities'!H39</f>
        <v>1 (Leather)</v>
      </c>
      <c r="J3" s="20"/>
      <c r="K3" s="20"/>
      <c r="L3" s="20"/>
      <c r="M3" s="20"/>
      <c r="N3" s="20"/>
      <c r="O3" s="20"/>
      <c r="P3" s="20"/>
      <c r="Q3" s="20"/>
      <c r="R3" s="20"/>
      <c r="S3" s="20"/>
      <c r="T3" s="20"/>
      <c r="U3" s="20"/>
      <c r="V3" s="20"/>
      <c r="W3" s="20"/>
      <c r="X3" s="20"/>
      <c r="Y3" s="20"/>
      <c r="Z3" s="20"/>
    </row>
    <row r="4" spans="1:26" x14ac:dyDescent="0.25">
      <c r="A4" s="2"/>
      <c r="E4" s="8"/>
      <c r="F4" s="8"/>
      <c r="G4" s="8"/>
      <c r="H4" s="7"/>
      <c r="I4" s="7"/>
      <c r="J4" s="20"/>
      <c r="K4" s="20"/>
      <c r="L4" s="20"/>
      <c r="M4" s="20"/>
      <c r="N4" s="20"/>
      <c r="O4" s="20"/>
      <c r="P4" s="20"/>
      <c r="Q4" s="20"/>
      <c r="R4" s="20"/>
      <c r="S4" s="20"/>
      <c r="T4" s="20"/>
      <c r="U4" s="20"/>
      <c r="V4" s="20"/>
      <c r="W4" s="20"/>
      <c r="X4" s="20"/>
      <c r="Y4" s="20"/>
      <c r="Z4" s="20"/>
    </row>
    <row r="5" spans="1:26" x14ac:dyDescent="0.25">
      <c r="A5" s="193" t="s">
        <v>1189</v>
      </c>
      <c r="D5" t="s">
        <v>932</v>
      </c>
      <c r="E5" s="93" t="s">
        <v>1190</v>
      </c>
      <c r="F5" s="8"/>
      <c r="G5" s="1" t="s">
        <v>932</v>
      </c>
      <c r="H5" s="7"/>
      <c r="I5" s="7"/>
      <c r="J5" s="20"/>
      <c r="K5" s="20"/>
      <c r="L5" s="20"/>
      <c r="M5" s="20"/>
      <c r="N5" s="20"/>
      <c r="O5" s="20"/>
      <c r="P5" s="20"/>
      <c r="Q5" s="20"/>
      <c r="R5" s="20"/>
      <c r="S5" s="20"/>
      <c r="T5" s="20"/>
      <c r="U5" s="20"/>
      <c r="V5" s="20"/>
      <c r="W5" s="20"/>
      <c r="X5" s="20"/>
      <c r="Y5" s="20"/>
      <c r="Z5" s="20"/>
    </row>
    <row r="6" spans="1:26" x14ac:dyDescent="0.25">
      <c r="E6" s="8"/>
      <c r="F6" s="8"/>
      <c r="G6" s="8"/>
      <c r="H6" s="8"/>
      <c r="I6" s="8"/>
      <c r="J6" s="20"/>
      <c r="K6" s="20"/>
      <c r="L6" s="20"/>
      <c r="M6" s="20"/>
      <c r="N6" s="20"/>
      <c r="O6" s="20"/>
      <c r="P6" s="20"/>
      <c r="Q6" s="20"/>
      <c r="R6" s="20"/>
      <c r="S6" s="20"/>
      <c r="T6" s="20"/>
      <c r="U6" s="20"/>
      <c r="V6" s="20"/>
      <c r="W6" s="20"/>
      <c r="X6" s="20"/>
      <c r="Y6" s="20"/>
      <c r="Z6" s="20"/>
    </row>
    <row r="7" spans="1:26" x14ac:dyDescent="0.25">
      <c r="C7" s="5" t="s">
        <v>107</v>
      </c>
      <c r="D7" s="199" t="s">
        <v>51</v>
      </c>
      <c r="E7" s="199" t="s">
        <v>51</v>
      </c>
      <c r="F7" s="8"/>
      <c r="G7" s="6" t="s">
        <v>108</v>
      </c>
      <c r="H7" s="8">
        <f>5*ThL</f>
        <v>17.5</v>
      </c>
      <c r="I7" s="8"/>
      <c r="J7" s="20"/>
      <c r="K7" s="20"/>
      <c r="L7" s="20"/>
      <c r="M7" s="20"/>
      <c r="N7" s="20"/>
      <c r="O7" s="20"/>
      <c r="P7" s="20"/>
      <c r="Q7" s="20"/>
      <c r="R7" s="20"/>
      <c r="S7" s="20"/>
      <c r="T7" s="20"/>
      <c r="U7" s="20"/>
      <c r="V7" s="20"/>
      <c r="W7" s="20"/>
      <c r="X7" s="20"/>
      <c r="Y7" s="20"/>
      <c r="Z7" s="20"/>
    </row>
    <row r="8" spans="1:26" x14ac:dyDescent="0.25">
      <c r="A8" s="3"/>
      <c r="E8" s="8"/>
      <c r="F8" s="8"/>
      <c r="G8" s="8"/>
      <c r="H8" s="8"/>
      <c r="I8" s="8"/>
      <c r="J8" s="20"/>
      <c r="K8" s="20"/>
      <c r="L8" s="20"/>
      <c r="M8" s="20"/>
      <c r="N8" s="20"/>
      <c r="O8" s="20"/>
      <c r="P8" s="20"/>
      <c r="Q8" s="20"/>
      <c r="R8" s="20"/>
      <c r="S8" s="20"/>
      <c r="T8" s="20"/>
      <c r="U8" s="20"/>
      <c r="V8" s="20"/>
      <c r="W8" s="20"/>
      <c r="X8" s="20"/>
      <c r="Y8" s="20"/>
      <c r="Z8" s="20"/>
    </row>
    <row r="9" spans="1:26" x14ac:dyDescent="0.25">
      <c r="A9" s="6" t="s">
        <v>111</v>
      </c>
      <c r="B9" s="6" t="s">
        <v>112</v>
      </c>
      <c r="C9" s="6" t="s">
        <v>113</v>
      </c>
      <c r="D9" s="6" t="s">
        <v>114</v>
      </c>
      <c r="E9" s="6" t="s">
        <v>115</v>
      </c>
      <c r="F9" s="6" t="s">
        <v>116</v>
      </c>
      <c r="G9" s="6" t="s">
        <v>117</v>
      </c>
      <c r="H9" s="6" t="s">
        <v>1006</v>
      </c>
      <c r="I9" s="6"/>
      <c r="J9" s="20"/>
      <c r="K9" s="20"/>
      <c r="L9" s="20"/>
      <c r="M9" s="20"/>
      <c r="N9" s="20"/>
      <c r="O9" s="20"/>
      <c r="P9" s="20"/>
      <c r="Q9" s="20"/>
      <c r="R9" s="20"/>
      <c r="S9" s="20"/>
      <c r="T9" s="20"/>
      <c r="U9" s="20"/>
      <c r="V9" s="20"/>
      <c r="W9" s="20"/>
      <c r="X9" s="20"/>
      <c r="Y9" s="20"/>
      <c r="Z9" s="20"/>
    </row>
    <row r="10" spans="1:26" x14ac:dyDescent="0.25">
      <c r="C10" s="1" t="str">
        <f>Race</f>
        <v>Human, Westerner</v>
      </c>
      <c r="E10" s="8"/>
      <c r="F10" s="8"/>
      <c r="G10" s="8"/>
      <c r="H10" s="8"/>
      <c r="I10" s="8"/>
      <c r="J10" s="20"/>
      <c r="K10" s="20"/>
      <c r="L10" s="20"/>
      <c r="M10" s="20"/>
      <c r="N10" s="20"/>
      <c r="O10" s="20"/>
      <c r="P10" s="20"/>
      <c r="Q10" s="20"/>
      <c r="R10" s="20"/>
      <c r="S10" s="20"/>
      <c r="T10" s="20"/>
      <c r="U10" s="20"/>
      <c r="V10" s="20"/>
      <c r="W10" s="20"/>
      <c r="X10" s="20"/>
      <c r="Y10" s="20"/>
      <c r="Z10" s="20"/>
    </row>
    <row r="11" spans="1:26" x14ac:dyDescent="0.25">
      <c r="A11" t="s">
        <v>118</v>
      </c>
      <c r="B11" s="24">
        <v>1</v>
      </c>
      <c r="C11">
        <f>VLOOKUP(Race,SMs!$A$4:$G$34,2,FALSE)</f>
        <v>0</v>
      </c>
      <c r="D11" t="s">
        <v>119</v>
      </c>
      <c r="E11" s="8">
        <f ca="1">5*('Characteristics &amp; Experience'!B$42-'Characteristics &amp; Experience'!B44)</f>
        <v>10</v>
      </c>
      <c r="F11" s="115">
        <v>8.5</v>
      </c>
      <c r="G11" s="8">
        <f t="shared" ref="G11:G42" si="0">VLOOKUP(F11,$K$83:$S$149,(B$11+2))</f>
        <v>18</v>
      </c>
      <c r="H11" s="8">
        <f t="shared" ref="H11:H17" ca="1" si="1">INT(SUM(H$7,B$12,C$12,E11,G11))-$I$2*10</f>
        <v>40</v>
      </c>
      <c r="I11" s="8"/>
      <c r="J11" s="20"/>
      <c r="K11" s="20"/>
      <c r="L11" s="20"/>
      <c r="M11" s="20"/>
      <c r="N11" s="20"/>
      <c r="O11" s="20"/>
      <c r="P11" s="20"/>
      <c r="Q11" s="20"/>
      <c r="R11" s="20"/>
      <c r="S11" s="20"/>
      <c r="T11" s="20"/>
      <c r="U11" s="20"/>
      <c r="V11" s="20"/>
      <c r="W11" s="20"/>
      <c r="X11" s="20"/>
      <c r="Y11" s="20"/>
      <c r="Z11" s="20"/>
    </row>
    <row r="12" spans="1:26" x14ac:dyDescent="0.25">
      <c r="B12">
        <f>5*B11</f>
        <v>5</v>
      </c>
      <c r="C12">
        <f>5*C11</f>
        <v>0</v>
      </c>
      <c r="D12" t="s">
        <v>120</v>
      </c>
      <c r="E12" s="8">
        <f ca="1">5*'Characteristics &amp; Experience'!B$42</f>
        <v>-15</v>
      </c>
      <c r="F12" s="115">
        <v>6.2</v>
      </c>
      <c r="G12" s="8">
        <f t="shared" si="0"/>
        <v>16</v>
      </c>
      <c r="H12" s="8">
        <f t="shared" ca="1" si="1"/>
        <v>13</v>
      </c>
      <c r="I12" s="8"/>
      <c r="J12" s="20"/>
      <c r="K12" s="20"/>
      <c r="L12" s="20"/>
      <c r="M12" s="20"/>
      <c r="N12" s="20"/>
      <c r="O12" s="20"/>
      <c r="P12" s="20"/>
      <c r="Q12" s="20"/>
      <c r="R12" s="20"/>
      <c r="S12" s="20"/>
      <c r="T12" s="20"/>
      <c r="U12" s="20"/>
      <c r="V12" s="20"/>
      <c r="W12" s="20"/>
      <c r="X12" s="20"/>
      <c r="Y12" s="20"/>
      <c r="Z12" s="20"/>
    </row>
    <row r="13" spans="1:26" x14ac:dyDescent="0.25">
      <c r="D13" t="s">
        <v>121</v>
      </c>
      <c r="E13" s="8">
        <f ca="1">5*'Characteristics &amp; Experience'!B$42</f>
        <v>-15</v>
      </c>
      <c r="F13" s="115">
        <v>1.2</v>
      </c>
      <c r="G13" s="8">
        <f t="shared" si="0"/>
        <v>4</v>
      </c>
      <c r="H13" s="8">
        <f t="shared" ca="1" si="1"/>
        <v>1</v>
      </c>
      <c r="I13" s="8"/>
      <c r="J13" s="20"/>
      <c r="K13" s="20"/>
      <c r="L13" s="20"/>
      <c r="M13" s="20"/>
      <c r="N13" s="20"/>
      <c r="O13" s="20"/>
      <c r="P13" s="20"/>
      <c r="Q13" s="20"/>
      <c r="R13" s="20"/>
      <c r="S13" s="20"/>
      <c r="T13" s="20"/>
      <c r="U13" s="20"/>
      <c r="V13" s="20"/>
      <c r="W13" s="20"/>
      <c r="X13" s="20"/>
      <c r="Y13" s="20"/>
      <c r="Z13" s="20"/>
    </row>
    <row r="14" spans="1:26" x14ac:dyDescent="0.25">
      <c r="B14" s="7" t="s">
        <v>122</v>
      </c>
      <c r="C14" t="s">
        <v>123</v>
      </c>
      <c r="D14" t="s">
        <v>124</v>
      </c>
      <c r="E14" s="8">
        <f ca="1">5*'Characteristics &amp; Experience'!B$42</f>
        <v>-15</v>
      </c>
      <c r="F14" s="115">
        <v>0</v>
      </c>
      <c r="G14" s="8">
        <f t="shared" si="0"/>
        <v>0</v>
      </c>
      <c r="H14" s="8">
        <f t="shared" ca="1" si="1"/>
        <v>-3</v>
      </c>
      <c r="I14" s="8"/>
      <c r="J14" s="20"/>
      <c r="K14" s="20"/>
      <c r="L14" s="20"/>
      <c r="M14" s="20"/>
      <c r="N14" s="20"/>
      <c r="O14" s="20"/>
      <c r="P14" s="20"/>
      <c r="Q14" s="20"/>
      <c r="R14" s="20"/>
      <c r="S14" s="20"/>
      <c r="T14" s="20"/>
      <c r="U14" s="20"/>
      <c r="V14" s="20"/>
      <c r="W14" s="20"/>
      <c r="X14" s="20"/>
      <c r="Y14" s="20"/>
      <c r="Z14" s="20"/>
    </row>
    <row r="15" spans="1:26" x14ac:dyDescent="0.25">
      <c r="B15" s="7" t="s">
        <v>122</v>
      </c>
      <c r="C15" t="s">
        <v>138</v>
      </c>
      <c r="D15" t="s">
        <v>125</v>
      </c>
      <c r="E15" s="8">
        <f ca="1">5*'Characteristics &amp; Experience'!B$42</f>
        <v>-15</v>
      </c>
      <c r="F15" s="115">
        <v>0</v>
      </c>
      <c r="G15" s="8">
        <f t="shared" si="0"/>
        <v>0</v>
      </c>
      <c r="H15" s="8">
        <f t="shared" ca="1" si="1"/>
        <v>-3</v>
      </c>
      <c r="I15" s="8"/>
      <c r="J15" s="20"/>
      <c r="K15" s="20"/>
      <c r="L15" s="20"/>
      <c r="M15" s="20"/>
      <c r="N15" s="20"/>
      <c r="O15" s="20"/>
      <c r="P15" s="20"/>
      <c r="Q15" s="20"/>
      <c r="R15" s="20"/>
      <c r="S15" s="20"/>
      <c r="T15" s="20"/>
      <c r="U15" s="20"/>
      <c r="V15" s="20"/>
      <c r="W15" s="20"/>
      <c r="X15" s="20"/>
      <c r="Y15" s="20"/>
      <c r="Z15" s="20"/>
    </row>
    <row r="16" spans="1:26" x14ac:dyDescent="0.25">
      <c r="B16" s="7" t="s">
        <v>122</v>
      </c>
      <c r="C16" t="s">
        <v>126</v>
      </c>
      <c r="D16" t="s">
        <v>127</v>
      </c>
      <c r="E16" s="116">
        <f ca="1">5*AVERAGE('Characteristics &amp; Experience'!B$42,'Characteristics &amp; Experience'!B$54,'Characteristics &amp; Experience'!B$50)</f>
        <v>-5</v>
      </c>
      <c r="F16" s="115">
        <v>0</v>
      </c>
      <c r="G16" s="8">
        <f t="shared" si="0"/>
        <v>0</v>
      </c>
      <c r="H16" s="8">
        <f t="shared" ca="1" si="1"/>
        <v>7</v>
      </c>
      <c r="I16" s="8"/>
      <c r="J16" s="20"/>
      <c r="K16" s="20"/>
      <c r="L16" s="20"/>
      <c r="M16" s="20"/>
      <c r="N16" s="20"/>
      <c r="O16" s="20"/>
      <c r="P16" s="20"/>
      <c r="Q16" s="20"/>
      <c r="R16" s="20"/>
      <c r="S16" s="20"/>
      <c r="T16" s="20"/>
      <c r="U16" s="20"/>
      <c r="V16" s="20"/>
      <c r="W16" s="20"/>
      <c r="X16" s="20"/>
      <c r="Y16" s="20"/>
      <c r="Z16" s="20"/>
    </row>
    <row r="17" spans="1:26" x14ac:dyDescent="0.25">
      <c r="B17" s="7" t="s">
        <v>122</v>
      </c>
      <c r="C17" t="s">
        <v>138</v>
      </c>
      <c r="D17" t="s">
        <v>128</v>
      </c>
      <c r="E17" s="116">
        <f ca="1">5*AVERAGE('Characteristics &amp; Experience'!B$42,'Characteristics &amp; Experience'!B$53)</f>
        <v>-7.5</v>
      </c>
      <c r="F17" s="115">
        <v>0</v>
      </c>
      <c r="G17" s="8">
        <f t="shared" si="0"/>
        <v>0</v>
      </c>
      <c r="H17" s="8">
        <f t="shared" ca="1" si="1"/>
        <v>5</v>
      </c>
      <c r="I17" s="8"/>
      <c r="J17" s="20"/>
      <c r="K17" s="20"/>
      <c r="L17" s="20"/>
      <c r="M17" s="20"/>
      <c r="N17" s="20"/>
      <c r="O17" s="20"/>
      <c r="P17" s="20"/>
      <c r="Q17" s="20"/>
      <c r="R17" s="20"/>
      <c r="S17" s="20"/>
      <c r="T17" s="20"/>
      <c r="U17" s="20"/>
      <c r="V17" s="20"/>
      <c r="W17" s="20"/>
      <c r="X17" s="20"/>
      <c r="Y17" s="20"/>
      <c r="Z17" s="20"/>
    </row>
    <row r="18" spans="1:26" x14ac:dyDescent="0.25">
      <c r="A18" t="s">
        <v>129</v>
      </c>
      <c r="B18" s="24">
        <v>2</v>
      </c>
      <c r="C18">
        <f>VLOOKUP(Race,SMs!$A$4:$G$34,3,FALSE)</f>
        <v>0</v>
      </c>
      <c r="D18" t="s">
        <v>130</v>
      </c>
      <c r="E18" s="8">
        <f ca="1">5*'Characteristics &amp; Experience'!B$42</f>
        <v>-15</v>
      </c>
      <c r="F18" s="115">
        <v>9.6</v>
      </c>
      <c r="G18" s="8">
        <f t="shared" si="0"/>
        <v>19</v>
      </c>
      <c r="H18" s="8">
        <f t="shared" ref="H18:H27" ca="1" si="2">INT(SUM(H$7,B$19,C$19,E18,G18))-$I$2*10</f>
        <v>21</v>
      </c>
      <c r="I18" s="8"/>
      <c r="J18" s="20"/>
      <c r="K18" s="20"/>
      <c r="L18" s="20"/>
      <c r="M18" s="20"/>
      <c r="N18" s="20"/>
      <c r="O18" s="20"/>
      <c r="P18" s="20"/>
      <c r="Q18" s="20"/>
      <c r="R18" s="20"/>
      <c r="S18" s="20"/>
      <c r="T18" s="20"/>
      <c r="U18" s="20"/>
      <c r="V18" s="20"/>
      <c r="W18" s="20"/>
      <c r="X18" s="20"/>
      <c r="Y18" s="20"/>
      <c r="Z18" s="20"/>
    </row>
    <row r="19" spans="1:26" x14ac:dyDescent="0.25">
      <c r="B19">
        <f>5*B18</f>
        <v>10</v>
      </c>
      <c r="C19">
        <f>5*C18</f>
        <v>0</v>
      </c>
      <c r="D19" t="s">
        <v>131</v>
      </c>
      <c r="E19" s="8">
        <f ca="1">5*'Characteristics &amp; Experience'!B$42</f>
        <v>-15</v>
      </c>
      <c r="F19" s="115">
        <v>7.6</v>
      </c>
      <c r="G19" s="8">
        <f t="shared" si="0"/>
        <v>17</v>
      </c>
      <c r="H19" s="8">
        <f t="shared" ca="1" si="2"/>
        <v>19</v>
      </c>
      <c r="I19" s="8"/>
      <c r="J19" s="20"/>
      <c r="K19" s="20"/>
      <c r="L19" s="20"/>
      <c r="M19" s="20"/>
      <c r="N19" s="20"/>
      <c r="O19" s="20"/>
      <c r="P19" s="20"/>
      <c r="Q19" s="20"/>
      <c r="R19" s="20"/>
      <c r="S19" s="20"/>
      <c r="T19" s="20"/>
      <c r="U19" s="20"/>
      <c r="V19" s="20"/>
      <c r="W19" s="20"/>
      <c r="X19" s="20"/>
      <c r="Y19" s="20"/>
      <c r="Z19" s="20"/>
    </row>
    <row r="20" spans="1:26" x14ac:dyDescent="0.25">
      <c r="D20" t="s">
        <v>132</v>
      </c>
      <c r="E20" s="8">
        <f ca="1">5*'Characteristics &amp; Experience'!B$42</f>
        <v>-15</v>
      </c>
      <c r="F20" s="115">
        <v>5.8</v>
      </c>
      <c r="G20" s="8">
        <f t="shared" si="0"/>
        <v>14</v>
      </c>
      <c r="H20" s="8">
        <f t="shared" ca="1" si="2"/>
        <v>16</v>
      </c>
      <c r="I20" s="8"/>
      <c r="J20" s="20"/>
      <c r="K20" s="20"/>
      <c r="L20" s="20"/>
      <c r="M20" s="20"/>
      <c r="N20" s="20"/>
      <c r="O20" s="20"/>
      <c r="P20" s="20"/>
      <c r="Q20" s="20"/>
      <c r="R20" s="20"/>
      <c r="S20" s="20"/>
      <c r="T20" s="20"/>
      <c r="U20" s="20"/>
      <c r="V20" s="20"/>
      <c r="W20" s="20"/>
      <c r="X20" s="20"/>
      <c r="Y20" s="20"/>
      <c r="Z20" s="20"/>
    </row>
    <row r="21" spans="1:26" x14ac:dyDescent="0.25">
      <c r="D21" t="s">
        <v>133</v>
      </c>
      <c r="E21" s="8">
        <f ca="1">5*AVERAGE('Characteristics &amp; Experience'!B$47,'Characteristics &amp; Experience'!B$54)</f>
        <v>0</v>
      </c>
      <c r="F21" s="115">
        <v>4.7</v>
      </c>
      <c r="G21" s="8">
        <f t="shared" si="0"/>
        <v>12</v>
      </c>
      <c r="H21" s="8">
        <f t="shared" ca="1" si="2"/>
        <v>29</v>
      </c>
      <c r="I21" s="8"/>
      <c r="J21" s="20"/>
      <c r="K21" s="20"/>
      <c r="L21" s="20"/>
      <c r="M21" s="20"/>
      <c r="N21" s="20"/>
      <c r="O21" s="20"/>
      <c r="P21" s="20"/>
      <c r="Q21" s="20"/>
      <c r="R21" s="20"/>
      <c r="S21" s="20"/>
      <c r="T21" s="20"/>
      <c r="U21" s="20"/>
      <c r="V21" s="20"/>
      <c r="W21" s="20"/>
      <c r="X21" s="20"/>
      <c r="Y21" s="20"/>
      <c r="Z21" s="20"/>
    </row>
    <row r="22" spans="1:26" x14ac:dyDescent="0.25">
      <c r="D22" t="s">
        <v>134</v>
      </c>
      <c r="E22" s="8">
        <f ca="1">5*AVERAGE('Characteristics &amp; Experience'!B$42,'Characteristics &amp; Experience'!B$49)</f>
        <v>-5</v>
      </c>
      <c r="F22" s="115">
        <v>2.1</v>
      </c>
      <c r="G22" s="8">
        <f t="shared" si="0"/>
        <v>8</v>
      </c>
      <c r="H22" s="8">
        <f t="shared" ca="1" si="2"/>
        <v>20</v>
      </c>
      <c r="I22" s="8"/>
      <c r="J22" s="20"/>
      <c r="K22" s="20"/>
      <c r="L22" s="20"/>
      <c r="M22" s="20"/>
      <c r="N22" s="20"/>
      <c r="O22" s="20"/>
      <c r="P22" s="20"/>
      <c r="Q22" s="20"/>
      <c r="R22" s="20"/>
      <c r="S22" s="20"/>
      <c r="T22" s="20"/>
      <c r="U22" s="20"/>
      <c r="V22" s="20"/>
      <c r="W22" s="20"/>
      <c r="X22" s="20"/>
      <c r="Y22" s="20"/>
      <c r="Z22" s="20"/>
    </row>
    <row r="23" spans="1:26" x14ac:dyDescent="0.25">
      <c r="D23" t="s">
        <v>135</v>
      </c>
      <c r="E23" s="8">
        <f ca="1">5*'Characteristics &amp; Experience'!B$42</f>
        <v>-15</v>
      </c>
      <c r="F23" s="115">
        <v>2.2999999999999998</v>
      </c>
      <c r="G23" s="8">
        <f t="shared" si="0"/>
        <v>8</v>
      </c>
      <c r="H23" s="8">
        <f t="shared" ca="1" si="2"/>
        <v>10</v>
      </c>
      <c r="I23" s="8"/>
      <c r="J23" s="20"/>
      <c r="K23" s="20"/>
      <c r="L23" s="20"/>
      <c r="M23" s="20"/>
      <c r="N23" s="20"/>
      <c r="O23" s="20"/>
      <c r="P23" s="20"/>
      <c r="Q23" s="20"/>
      <c r="R23" s="20"/>
      <c r="S23" s="20"/>
      <c r="T23" s="20"/>
      <c r="U23" s="20"/>
      <c r="V23" s="20"/>
      <c r="W23" s="20"/>
      <c r="X23" s="20"/>
      <c r="Y23" s="20"/>
      <c r="Z23" s="20"/>
    </row>
    <row r="24" spans="1:26" x14ac:dyDescent="0.25">
      <c r="D24" t="s">
        <v>136</v>
      </c>
      <c r="E24" s="8">
        <f ca="1">5*'Characteristics &amp; Experience'!B$42</f>
        <v>-15</v>
      </c>
      <c r="F24" s="115">
        <v>3.1</v>
      </c>
      <c r="G24" s="8">
        <f t="shared" si="0"/>
        <v>10</v>
      </c>
      <c r="H24" s="8">
        <f t="shared" ca="1" si="2"/>
        <v>12</v>
      </c>
      <c r="I24" s="8"/>
      <c r="J24" s="20"/>
      <c r="K24" s="20"/>
      <c r="L24" s="20"/>
      <c r="M24" s="20"/>
      <c r="N24" s="20"/>
      <c r="O24" s="20"/>
      <c r="P24" s="20"/>
      <c r="Q24" s="20"/>
      <c r="R24" s="20"/>
      <c r="S24" s="20"/>
      <c r="T24" s="20"/>
      <c r="U24" s="20"/>
      <c r="V24" s="20"/>
      <c r="W24" s="20"/>
      <c r="X24" s="20"/>
      <c r="Y24" s="20"/>
      <c r="Z24" s="20"/>
    </row>
    <row r="25" spans="1:26" x14ac:dyDescent="0.25">
      <c r="B25" s="7" t="s">
        <v>122</v>
      </c>
      <c r="C25" t="s">
        <v>137</v>
      </c>
      <c r="D25" t="s">
        <v>138</v>
      </c>
      <c r="E25" s="8">
        <f ca="1">5*AVERAGE('Characteristics &amp; Experience'!B$42,'Characteristics &amp; Experience'!B$49)</f>
        <v>-5</v>
      </c>
      <c r="F25" s="115">
        <v>0</v>
      </c>
      <c r="G25" s="8">
        <f t="shared" si="0"/>
        <v>0</v>
      </c>
      <c r="H25" s="8">
        <f t="shared" ca="1" si="2"/>
        <v>12</v>
      </c>
      <c r="I25" s="8"/>
      <c r="J25" s="20"/>
      <c r="K25" s="20"/>
      <c r="L25" s="20"/>
      <c r="M25" s="20"/>
      <c r="N25" s="20"/>
      <c r="O25" s="20"/>
      <c r="P25" s="20"/>
      <c r="Q25" s="20"/>
      <c r="R25" s="20"/>
      <c r="S25" s="20"/>
      <c r="T25" s="20"/>
      <c r="U25" s="20"/>
      <c r="V25" s="20"/>
      <c r="W25" s="20"/>
      <c r="X25" s="20"/>
      <c r="Y25" s="20"/>
      <c r="Z25" s="20"/>
    </row>
    <row r="26" spans="1:26" x14ac:dyDescent="0.25">
      <c r="B26" s="7" t="s">
        <v>122</v>
      </c>
      <c r="C26" t="s">
        <v>123</v>
      </c>
      <c r="D26" t="s">
        <v>139</v>
      </c>
      <c r="E26" s="8">
        <f ca="1">5*AVERAGE('Characteristics &amp; Experience'!B$42,'Characteristics &amp; Experience'!B$47)</f>
        <v>-2.5</v>
      </c>
      <c r="F26" s="115">
        <v>0</v>
      </c>
      <c r="G26" s="8">
        <f t="shared" si="0"/>
        <v>0</v>
      </c>
      <c r="H26" s="8">
        <f t="shared" ca="1" si="2"/>
        <v>15</v>
      </c>
      <c r="I26" s="8"/>
      <c r="J26" s="20"/>
      <c r="K26" s="20"/>
      <c r="L26" s="20"/>
      <c r="M26" s="20"/>
      <c r="N26" s="20"/>
      <c r="O26" s="20"/>
      <c r="P26" s="20"/>
      <c r="Q26" s="20"/>
      <c r="R26" s="20"/>
      <c r="S26" s="20"/>
      <c r="T26" s="20"/>
      <c r="U26" s="20"/>
      <c r="V26" s="20"/>
      <c r="W26" s="20"/>
      <c r="X26" s="20"/>
      <c r="Y26" s="20"/>
      <c r="Z26" s="20"/>
    </row>
    <row r="27" spans="1:26" x14ac:dyDescent="0.25">
      <c r="B27" s="7" t="s">
        <v>122</v>
      </c>
      <c r="C27" t="s">
        <v>137</v>
      </c>
      <c r="D27" t="s">
        <v>140</v>
      </c>
      <c r="E27" s="8">
        <f ca="1">5*AVERAGE('Characteristics &amp; Experience'!B$42,'Characteristics &amp; Experience'!B$49)</f>
        <v>-5</v>
      </c>
      <c r="F27" s="115">
        <v>0</v>
      </c>
      <c r="G27" s="8">
        <f t="shared" si="0"/>
        <v>0</v>
      </c>
      <c r="H27" s="8">
        <f t="shared" ca="1" si="2"/>
        <v>12</v>
      </c>
      <c r="I27" s="8"/>
      <c r="J27" s="20"/>
      <c r="K27" s="20"/>
      <c r="L27" s="20"/>
      <c r="M27" s="20"/>
      <c r="N27" s="20"/>
      <c r="O27" s="20"/>
      <c r="P27" s="20"/>
      <c r="Q27" s="20"/>
      <c r="R27" s="20"/>
      <c r="S27" s="20"/>
      <c r="T27" s="20"/>
      <c r="U27" s="20"/>
      <c r="V27" s="20"/>
      <c r="W27" s="20"/>
      <c r="X27" s="20"/>
      <c r="Y27" s="20"/>
      <c r="Z27" s="20"/>
    </row>
    <row r="28" spans="1:26" x14ac:dyDescent="0.25">
      <c r="A28" t="s">
        <v>141</v>
      </c>
      <c r="B28" s="24">
        <v>2</v>
      </c>
      <c r="C28">
        <f>VLOOKUP(Race,SMs!$A$4:$G$34,4,FALSE)</f>
        <v>0</v>
      </c>
      <c r="D28" t="s">
        <v>142</v>
      </c>
      <c r="E28" s="8">
        <f ca="1">5*'Characteristics &amp; Experience'!B$47</f>
        <v>10</v>
      </c>
      <c r="F28" s="115">
        <v>8.3000000000000007</v>
      </c>
      <c r="G28" s="8">
        <f t="shared" si="0"/>
        <v>18</v>
      </c>
      <c r="H28" s="8">
        <f ca="1">INT(SUM(H$7,B$29,C$29,E28,G28))</f>
        <v>55</v>
      </c>
      <c r="I28" s="8"/>
      <c r="J28" s="20"/>
      <c r="K28" s="20"/>
      <c r="L28" s="20"/>
      <c r="M28" s="20"/>
      <c r="N28" s="20"/>
      <c r="O28" s="20"/>
      <c r="P28" s="20"/>
      <c r="Q28" s="20"/>
      <c r="R28" s="20"/>
      <c r="S28" s="20"/>
      <c r="T28" s="20"/>
      <c r="U28" s="20"/>
      <c r="V28" s="20"/>
      <c r="W28" s="20"/>
      <c r="X28" s="20"/>
      <c r="Y28" s="20"/>
      <c r="Z28" s="20"/>
    </row>
    <row r="29" spans="1:26" x14ac:dyDescent="0.25">
      <c r="B29">
        <f>5*B28</f>
        <v>10</v>
      </c>
      <c r="C29">
        <f>5*C28</f>
        <v>0</v>
      </c>
      <c r="D29" t="s">
        <v>143</v>
      </c>
      <c r="E29" s="8">
        <f ca="1">5*'Characteristics &amp; Experience'!B$48</f>
        <v>35</v>
      </c>
      <c r="F29" s="8"/>
      <c r="G29" s="8">
        <f t="shared" si="0"/>
        <v>0</v>
      </c>
      <c r="H29" s="8">
        <f ca="1">INT(SUM(H$7,B$29,C$29,E29,G28))</f>
        <v>80</v>
      </c>
      <c r="I29" s="8"/>
      <c r="J29" s="20"/>
      <c r="K29" s="20"/>
      <c r="L29" s="20"/>
      <c r="M29" s="20"/>
      <c r="N29" s="20"/>
      <c r="O29" s="20"/>
      <c r="P29" s="20"/>
      <c r="Q29" s="20"/>
      <c r="R29" s="20"/>
      <c r="S29" s="20"/>
      <c r="T29" s="20"/>
      <c r="U29" s="20"/>
      <c r="V29" s="20"/>
      <c r="W29" s="20"/>
      <c r="X29" s="20"/>
      <c r="Y29" s="20"/>
      <c r="Z29" s="20"/>
    </row>
    <row r="30" spans="1:26" x14ac:dyDescent="0.25">
      <c r="D30" t="s">
        <v>144</v>
      </c>
      <c r="E30" s="8">
        <f ca="1">5*AVERAGE('Characteristics &amp; Experience'!B$47,'Characteristics &amp; Experience'!B$48)</f>
        <v>22.5</v>
      </c>
      <c r="F30" s="115">
        <v>7.7</v>
      </c>
      <c r="G30" s="8">
        <f t="shared" si="0"/>
        <v>17</v>
      </c>
      <c r="H30" s="8">
        <f ca="1">INT(SUM(H$7,B$29,C$29,E30,G30))</f>
        <v>67</v>
      </c>
      <c r="I30" s="8"/>
      <c r="J30" s="20"/>
      <c r="K30" s="20"/>
      <c r="L30" s="20"/>
      <c r="M30" s="20"/>
      <c r="N30" s="20"/>
      <c r="O30" s="20"/>
      <c r="P30" s="20"/>
      <c r="Q30" s="20"/>
      <c r="R30" s="20"/>
      <c r="S30" s="20"/>
      <c r="T30" s="20"/>
      <c r="U30" s="20"/>
      <c r="V30" s="20"/>
      <c r="W30" s="20"/>
      <c r="X30" s="20"/>
      <c r="Y30" s="20"/>
      <c r="Z30" s="20"/>
    </row>
    <row r="31" spans="1:26" x14ac:dyDescent="0.25">
      <c r="D31" t="s">
        <v>145</v>
      </c>
      <c r="E31" s="116">
        <f ca="1">5*AVERAGE('Characteristics &amp; Experience'!B$47,'Characteristics &amp; Experience'!B$48,'Characteristics &amp; Experience'!B49)</f>
        <v>16.666666666666668</v>
      </c>
      <c r="F31" s="8"/>
      <c r="G31" s="8">
        <f t="shared" si="0"/>
        <v>0</v>
      </c>
      <c r="H31" s="8">
        <f ca="1">INT(SUM(H$7,B$29,C$29,E31,G30))</f>
        <v>61</v>
      </c>
      <c r="I31" s="8"/>
      <c r="J31" s="20"/>
      <c r="K31" s="20"/>
      <c r="L31" s="20"/>
      <c r="M31" s="20"/>
      <c r="N31" s="20"/>
      <c r="O31" s="20"/>
      <c r="P31" s="20"/>
      <c r="Q31" s="20"/>
      <c r="R31" s="20"/>
      <c r="S31" s="20"/>
      <c r="T31" s="20"/>
      <c r="U31" s="20"/>
      <c r="V31" s="20"/>
      <c r="W31" s="20"/>
      <c r="X31" s="20"/>
      <c r="Y31" s="20"/>
      <c r="Z31" s="20"/>
    </row>
    <row r="32" spans="1:26" x14ac:dyDescent="0.25">
      <c r="D32" t="s">
        <v>146</v>
      </c>
      <c r="E32" s="8">
        <f ca="1">5*AVERAGE('Characteristics &amp; Experience'!B$53,'Characteristics &amp; Experience'!B$54,'Characteristics &amp; Experience'!B$47,'Characteristics &amp; Experience'!B$48,'Characteristics &amp; Experience'!B$50)</f>
        <v>9</v>
      </c>
      <c r="F32" s="115">
        <v>2.2999999999999998</v>
      </c>
      <c r="G32" s="8">
        <f t="shared" si="0"/>
        <v>8</v>
      </c>
      <c r="H32" s="8">
        <f ca="1">INT(SUM(H$7,B$29,C$29,E32,G32))</f>
        <v>44</v>
      </c>
      <c r="I32" s="8"/>
      <c r="J32" s="20"/>
      <c r="K32" s="20"/>
      <c r="L32" s="20"/>
      <c r="M32" s="20"/>
      <c r="N32" s="20"/>
      <c r="O32" s="20"/>
      <c r="P32" s="20"/>
      <c r="Q32" s="20"/>
      <c r="R32" s="20"/>
      <c r="S32" s="20"/>
      <c r="T32" s="20"/>
      <c r="U32" s="20"/>
      <c r="V32" s="20"/>
      <c r="W32" s="20"/>
      <c r="X32" s="20"/>
      <c r="Y32" s="20"/>
      <c r="Z32" s="20"/>
    </row>
    <row r="33" spans="2:26" x14ac:dyDescent="0.25">
      <c r="D33" s="4" t="s">
        <v>147</v>
      </c>
      <c r="E33" s="104">
        <f ca="1">5*'Characteristics &amp; Experience'!B$47</f>
        <v>10</v>
      </c>
      <c r="F33" s="115">
        <v>6.8</v>
      </c>
      <c r="G33" s="8">
        <f t="shared" si="0"/>
        <v>16</v>
      </c>
      <c r="H33" s="8">
        <f ca="1">INT(SUM(H$7,B$29,C$29,E33,G33))</f>
        <v>53</v>
      </c>
      <c r="I33" s="8"/>
      <c r="J33" s="20"/>
      <c r="K33" s="20"/>
      <c r="L33" s="20"/>
      <c r="M33" s="20"/>
      <c r="N33" s="20"/>
      <c r="O33" s="20"/>
      <c r="P33" s="20"/>
      <c r="Q33" s="20"/>
      <c r="R33" s="20"/>
      <c r="S33" s="20"/>
      <c r="T33" s="20"/>
      <c r="U33" s="20"/>
      <c r="V33" s="20"/>
      <c r="W33" s="20"/>
      <c r="X33" s="20"/>
      <c r="Y33" s="20"/>
      <c r="Z33" s="20"/>
    </row>
    <row r="34" spans="2:26" x14ac:dyDescent="0.25">
      <c r="D34" t="s">
        <v>148</v>
      </c>
      <c r="E34" s="8">
        <f ca="1">5*('Characteristics &amp; Experience'!B$47+'Characteristics &amp; Experience'!B$49)</f>
        <v>15</v>
      </c>
      <c r="F34" s="8"/>
      <c r="G34" s="8">
        <f t="shared" si="0"/>
        <v>0</v>
      </c>
      <c r="H34" s="8">
        <f ca="1">INT(SUM(H$7,B$29,C$29,E34,G33))</f>
        <v>58</v>
      </c>
      <c r="I34" s="8"/>
      <c r="J34" s="20"/>
      <c r="K34" s="20"/>
      <c r="L34" s="20"/>
      <c r="M34" s="20"/>
      <c r="N34" s="20"/>
      <c r="O34" s="20"/>
      <c r="P34" s="20"/>
      <c r="Q34" s="20"/>
      <c r="R34" s="20"/>
      <c r="S34" s="20"/>
      <c r="T34" s="20"/>
      <c r="U34" s="20"/>
      <c r="V34" s="20"/>
      <c r="W34" s="20"/>
      <c r="X34" s="20"/>
      <c r="Y34" s="20"/>
      <c r="Z34" s="20"/>
    </row>
    <row r="35" spans="2:26" x14ac:dyDescent="0.25">
      <c r="D35" s="4" t="s">
        <v>149</v>
      </c>
      <c r="E35" s="8">
        <f ca="1">5*'Characteristics &amp; Experience'!B$47</f>
        <v>10</v>
      </c>
      <c r="F35" s="115">
        <v>4.5</v>
      </c>
      <c r="G35" s="8">
        <f t="shared" si="0"/>
        <v>12</v>
      </c>
      <c r="H35" s="8">
        <f ca="1">INT(SUM(H$7,B$29,C$29,E35,G35))</f>
        <v>49</v>
      </c>
      <c r="I35" s="8"/>
      <c r="J35" s="20"/>
      <c r="K35" s="20"/>
      <c r="L35" s="20"/>
      <c r="M35" s="20"/>
      <c r="N35" s="20"/>
      <c r="O35" s="20"/>
      <c r="P35" s="20"/>
      <c r="Q35" s="20"/>
      <c r="R35" s="20"/>
      <c r="S35" s="20"/>
      <c r="T35" s="20"/>
      <c r="U35" s="20"/>
      <c r="V35" s="20"/>
      <c r="W35" s="20"/>
      <c r="X35" s="20"/>
      <c r="Y35" s="20"/>
      <c r="Z35" s="20"/>
    </row>
    <row r="36" spans="2:26" x14ac:dyDescent="0.25">
      <c r="D36" t="s">
        <v>150</v>
      </c>
      <c r="E36" s="8">
        <f ca="1">5*('Characteristics &amp; Experience'!B$47+'Characteristics &amp; Experience'!B$49)</f>
        <v>15</v>
      </c>
      <c r="F36" s="8"/>
      <c r="G36" s="8">
        <f t="shared" si="0"/>
        <v>0</v>
      </c>
      <c r="H36" s="8">
        <f ca="1">INT(SUM(H$7,B$29,C$29,E36,G35))</f>
        <v>54</v>
      </c>
      <c r="I36" s="8"/>
      <c r="J36" s="20"/>
      <c r="K36" s="20"/>
      <c r="L36" s="20"/>
      <c r="M36" s="20"/>
      <c r="N36" s="20"/>
      <c r="O36" s="20"/>
      <c r="P36" s="20"/>
      <c r="Q36" s="20"/>
      <c r="R36" s="20"/>
      <c r="S36" s="20"/>
      <c r="T36" s="20"/>
      <c r="U36" s="20"/>
      <c r="V36" s="20"/>
      <c r="W36" s="20"/>
      <c r="X36" s="20"/>
      <c r="Y36" s="20"/>
      <c r="Z36" s="20"/>
    </row>
    <row r="37" spans="2:26" x14ac:dyDescent="0.25">
      <c r="D37" t="s">
        <v>151</v>
      </c>
      <c r="E37" s="8">
        <f ca="1">5*'Characteristics &amp; Experience'!B$47</f>
        <v>10</v>
      </c>
      <c r="F37" s="115">
        <v>7.6</v>
      </c>
      <c r="G37" s="8">
        <f t="shared" si="0"/>
        <v>17</v>
      </c>
      <c r="H37" s="8">
        <f ca="1">INT(SUM(H$7,B$29,C$29,E37,G37))</f>
        <v>54</v>
      </c>
      <c r="I37" s="8"/>
      <c r="J37" s="20"/>
      <c r="K37" s="20"/>
      <c r="L37" s="20"/>
      <c r="M37" s="20"/>
      <c r="N37" s="20"/>
      <c r="O37" s="20"/>
      <c r="P37" s="20"/>
      <c r="Q37" s="20"/>
      <c r="R37" s="20"/>
      <c r="S37" s="20"/>
      <c r="T37" s="20"/>
      <c r="U37" s="20"/>
      <c r="V37" s="20"/>
      <c r="W37" s="20"/>
      <c r="X37" s="20"/>
      <c r="Y37" s="20"/>
      <c r="Z37" s="20"/>
    </row>
    <row r="38" spans="2:26" x14ac:dyDescent="0.25">
      <c r="D38" t="s">
        <v>152</v>
      </c>
      <c r="E38" s="8">
        <f ca="1">5*('Characteristics &amp; Experience'!B$47+'Characteristics &amp; Experience'!B$49)</f>
        <v>15</v>
      </c>
      <c r="F38" s="8"/>
      <c r="G38" s="8">
        <f t="shared" si="0"/>
        <v>0</v>
      </c>
      <c r="H38" s="8">
        <f ca="1">INT(SUM(H$7,B$29,C$29,E38,G37))</f>
        <v>59</v>
      </c>
      <c r="I38" s="8"/>
      <c r="J38" s="20"/>
      <c r="K38" s="20"/>
      <c r="L38" s="20"/>
      <c r="M38" s="20"/>
      <c r="N38" s="20"/>
      <c r="O38" s="20"/>
      <c r="P38" s="20"/>
      <c r="Q38" s="20"/>
      <c r="R38" s="20"/>
      <c r="S38" s="20"/>
      <c r="T38" s="20"/>
      <c r="U38" s="20"/>
      <c r="V38" s="20"/>
      <c r="W38" s="20"/>
      <c r="X38" s="20"/>
      <c r="Y38" s="20"/>
      <c r="Z38" s="20"/>
    </row>
    <row r="39" spans="2:26" x14ac:dyDescent="0.25">
      <c r="D39" t="s">
        <v>153</v>
      </c>
      <c r="E39" s="8">
        <f ca="1">5*'Characteristics &amp; Experience'!B$48</f>
        <v>35</v>
      </c>
      <c r="F39" s="115">
        <v>4.3</v>
      </c>
      <c r="G39" s="8">
        <f t="shared" si="0"/>
        <v>12</v>
      </c>
      <c r="H39" s="8">
        <f t="shared" ref="H39:H44" ca="1" si="3">INT(SUM(H$7,B$29,C$29,E39,G39))</f>
        <v>74</v>
      </c>
      <c r="I39" s="8"/>
      <c r="J39" s="20"/>
      <c r="K39" s="20"/>
      <c r="L39" s="20"/>
      <c r="M39" s="20"/>
      <c r="N39" s="20"/>
      <c r="O39" s="20"/>
      <c r="P39" s="20"/>
      <c r="Q39" s="20"/>
      <c r="R39" s="20"/>
      <c r="S39" s="20"/>
      <c r="T39" s="20"/>
      <c r="U39" s="20"/>
      <c r="V39" s="20"/>
      <c r="W39" s="20"/>
      <c r="X39" s="20"/>
      <c r="Y39" s="20"/>
      <c r="Z39" s="20"/>
    </row>
    <row r="40" spans="2:26" x14ac:dyDescent="0.25">
      <c r="D40" t="s">
        <v>154</v>
      </c>
      <c r="E40" s="8">
        <f ca="1">5*'Characteristics &amp; Experience'!B$47</f>
        <v>10</v>
      </c>
      <c r="F40" s="115">
        <v>2.8</v>
      </c>
      <c r="G40" s="8">
        <f t="shared" si="0"/>
        <v>8</v>
      </c>
      <c r="H40" s="8">
        <f t="shared" ca="1" si="3"/>
        <v>45</v>
      </c>
      <c r="I40" s="8"/>
      <c r="J40" s="20"/>
      <c r="K40" s="20"/>
      <c r="L40" s="20"/>
      <c r="M40" s="20"/>
      <c r="N40" s="20"/>
      <c r="O40" s="20"/>
      <c r="P40" s="20"/>
      <c r="Q40" s="20"/>
      <c r="R40" s="20"/>
      <c r="S40" s="20"/>
      <c r="T40" s="20"/>
      <c r="U40" s="20"/>
      <c r="V40" s="20"/>
      <c r="W40" s="20"/>
      <c r="X40" s="20"/>
      <c r="Y40" s="20"/>
      <c r="Z40" s="20"/>
    </row>
    <row r="41" spans="2:26" x14ac:dyDescent="0.25">
      <c r="D41" t="s">
        <v>155</v>
      </c>
      <c r="E41" s="8">
        <f ca="1">5*'Characteristics &amp; Experience'!B$47</f>
        <v>10</v>
      </c>
      <c r="F41" s="115">
        <v>1.7</v>
      </c>
      <c r="G41" s="8">
        <f t="shared" si="0"/>
        <v>4</v>
      </c>
      <c r="H41" s="8">
        <f t="shared" ca="1" si="3"/>
        <v>41</v>
      </c>
      <c r="I41" s="8"/>
      <c r="J41" s="20"/>
      <c r="K41" s="20"/>
      <c r="L41" s="20"/>
      <c r="M41" s="20"/>
      <c r="N41" s="20"/>
      <c r="O41" s="20"/>
      <c r="P41" s="20"/>
      <c r="Q41" s="20"/>
      <c r="R41" s="20"/>
      <c r="S41" s="20"/>
      <c r="T41" s="20"/>
      <c r="U41" s="20"/>
      <c r="V41" s="20"/>
      <c r="W41" s="20"/>
      <c r="X41" s="20"/>
      <c r="Y41" s="20"/>
      <c r="Z41" s="20"/>
    </row>
    <row r="42" spans="2:26" x14ac:dyDescent="0.25">
      <c r="D42" t="s">
        <v>156</v>
      </c>
      <c r="E42" s="8">
        <f ca="1">5*'Characteristics &amp; Experience'!B$47</f>
        <v>10</v>
      </c>
      <c r="F42" s="115">
        <v>4.5999999999999996</v>
      </c>
      <c r="G42" s="8">
        <f t="shared" si="0"/>
        <v>12</v>
      </c>
      <c r="H42" s="8">
        <f t="shared" ca="1" si="3"/>
        <v>49</v>
      </c>
      <c r="I42" s="8"/>
      <c r="J42" s="20"/>
      <c r="K42" s="20"/>
      <c r="L42" s="20"/>
      <c r="M42" s="20"/>
      <c r="N42" s="20"/>
      <c r="O42" s="20"/>
      <c r="P42" s="20"/>
      <c r="Q42" s="20"/>
      <c r="R42" s="20"/>
      <c r="S42" s="20"/>
      <c r="T42" s="20"/>
      <c r="U42" s="20"/>
      <c r="V42" s="20"/>
      <c r="W42" s="20"/>
      <c r="X42" s="20"/>
      <c r="Y42" s="20"/>
      <c r="Z42" s="20"/>
    </row>
    <row r="43" spans="2:26" x14ac:dyDescent="0.25">
      <c r="D43" t="s">
        <v>157</v>
      </c>
      <c r="E43" s="8">
        <f ca="1">5*AVERAGE('Characteristics &amp; Experience'!B$47,'Characteristics &amp; Experience'!B$54)</f>
        <v>0</v>
      </c>
      <c r="F43" s="115">
        <v>0.8</v>
      </c>
      <c r="G43" s="8">
        <f t="shared" ref="G43:G74" si="4">VLOOKUP(F43,$K$83:$S$149,(B$11+2))</f>
        <v>0</v>
      </c>
      <c r="H43" s="8">
        <f t="shared" ca="1" si="3"/>
        <v>27</v>
      </c>
      <c r="I43" s="8"/>
      <c r="J43" s="20"/>
      <c r="K43" s="20"/>
      <c r="L43" s="20"/>
      <c r="M43" s="20"/>
      <c r="N43" s="20"/>
      <c r="O43" s="20"/>
      <c r="P43" s="20"/>
      <c r="Q43" s="20"/>
      <c r="R43" s="20"/>
      <c r="S43" s="20"/>
      <c r="T43" s="20"/>
      <c r="U43" s="20"/>
      <c r="V43" s="20"/>
      <c r="W43" s="20"/>
      <c r="X43" s="20"/>
      <c r="Y43" s="20"/>
      <c r="Z43" s="20"/>
    </row>
    <row r="44" spans="2:26" x14ac:dyDescent="0.25">
      <c r="D44" t="s">
        <v>158</v>
      </c>
      <c r="E44" s="8">
        <f ca="1">5*'Characteristics &amp; Experience'!B$50</f>
        <v>10</v>
      </c>
      <c r="F44" s="115">
        <v>2.7</v>
      </c>
      <c r="G44" s="8">
        <f t="shared" si="4"/>
        <v>8</v>
      </c>
      <c r="H44" s="8">
        <f t="shared" ca="1" si="3"/>
        <v>45</v>
      </c>
      <c r="I44" s="8"/>
      <c r="J44" s="20"/>
      <c r="K44" s="20"/>
      <c r="L44" s="20"/>
      <c r="M44" s="20"/>
      <c r="N44" s="20"/>
      <c r="O44" s="20"/>
      <c r="P44" s="20"/>
      <c r="Q44" s="20"/>
      <c r="R44" s="20"/>
      <c r="S44" s="20"/>
      <c r="T44" s="20"/>
      <c r="U44" s="20"/>
      <c r="V44" s="20"/>
      <c r="W44" s="20"/>
      <c r="X44" s="20"/>
      <c r="Y44" s="20"/>
      <c r="Z44" s="20"/>
    </row>
    <row r="45" spans="2:26" x14ac:dyDescent="0.25">
      <c r="D45" t="s">
        <v>159</v>
      </c>
      <c r="E45" s="8">
        <f ca="1">5*('Characteristics &amp; Experience'!B$50+'Characteristics &amp; Experience'!B$51)</f>
        <v>15</v>
      </c>
      <c r="F45" s="8"/>
      <c r="G45" s="8">
        <f t="shared" si="4"/>
        <v>0</v>
      </c>
      <c r="H45" s="8">
        <f ca="1">INT(SUM(H$7,B$29,C$29,E45,G44))</f>
        <v>50</v>
      </c>
      <c r="I45" s="8"/>
      <c r="J45" s="20"/>
      <c r="K45" s="20"/>
      <c r="L45" s="20"/>
      <c r="M45" s="20"/>
      <c r="N45" s="20"/>
      <c r="O45" s="20"/>
      <c r="P45" s="20"/>
      <c r="Q45" s="20"/>
      <c r="R45" s="20"/>
      <c r="S45" s="20"/>
      <c r="T45" s="20"/>
      <c r="U45" s="20"/>
      <c r="V45" s="20"/>
      <c r="W45" s="20"/>
      <c r="X45" s="20"/>
      <c r="Y45" s="20"/>
      <c r="Z45" s="20"/>
    </row>
    <row r="46" spans="2:26" x14ac:dyDescent="0.25">
      <c r="B46" s="7" t="s">
        <v>122</v>
      </c>
      <c r="C46" t="s">
        <v>138</v>
      </c>
      <c r="D46" t="s">
        <v>160</v>
      </c>
      <c r="E46" s="104">
        <f ca="1">5*AVERAGE('Characteristics &amp; Experience'!B$47,'Characteristics &amp; Experience'!B$53)</f>
        <v>5</v>
      </c>
      <c r="F46" s="115">
        <v>0</v>
      </c>
      <c r="G46" s="8">
        <f t="shared" si="4"/>
        <v>0</v>
      </c>
      <c r="H46" s="8">
        <f t="shared" ref="H46:H52" ca="1" si="5">INT(SUM(H$7,B$29,C$29,E46,G46))</f>
        <v>32</v>
      </c>
      <c r="I46" s="8"/>
      <c r="J46" s="20"/>
      <c r="K46" s="20"/>
      <c r="L46" s="20"/>
      <c r="M46" s="20"/>
      <c r="N46" s="20"/>
      <c r="O46" s="20"/>
      <c r="P46" s="20"/>
      <c r="Q46" s="20"/>
      <c r="R46" s="20"/>
      <c r="S46" s="20"/>
      <c r="T46" s="20"/>
      <c r="U46" s="20"/>
      <c r="V46" s="20"/>
      <c r="W46" s="20"/>
      <c r="X46" s="20"/>
      <c r="Y46" s="20"/>
      <c r="Z46" s="20"/>
    </row>
    <row r="47" spans="2:26" x14ac:dyDescent="0.25">
      <c r="B47" s="7" t="s">
        <v>122</v>
      </c>
      <c r="C47" t="s">
        <v>161</v>
      </c>
      <c r="D47" t="s">
        <v>162</v>
      </c>
      <c r="E47" s="104">
        <f ca="1">5*AVERAGE('Characteristics &amp; Experience'!B$48,'Characteristics &amp; Experience'!B$49)</f>
        <v>20</v>
      </c>
      <c r="F47" s="115">
        <v>0</v>
      </c>
      <c r="G47" s="8">
        <f t="shared" si="4"/>
        <v>0</v>
      </c>
      <c r="H47" s="8">
        <f t="shared" ca="1" si="5"/>
        <v>47</v>
      </c>
      <c r="I47" s="8"/>
      <c r="J47" s="20"/>
      <c r="K47" s="20"/>
      <c r="L47" s="20"/>
      <c r="M47" s="20"/>
      <c r="N47" s="20"/>
      <c r="O47" s="20"/>
      <c r="P47" s="20"/>
      <c r="Q47" s="20"/>
      <c r="R47" s="20"/>
      <c r="S47" s="20"/>
      <c r="T47" s="20"/>
      <c r="U47" s="20"/>
      <c r="V47" s="20"/>
      <c r="W47" s="20"/>
      <c r="X47" s="20"/>
      <c r="Y47" s="20"/>
      <c r="Z47" s="20"/>
    </row>
    <row r="48" spans="2:26" x14ac:dyDescent="0.25">
      <c r="B48" s="7" t="s">
        <v>122</v>
      </c>
      <c r="C48" t="s">
        <v>163</v>
      </c>
      <c r="D48" t="s">
        <v>164</v>
      </c>
      <c r="E48" s="104">
        <f ca="1">5*'Characteristics &amp; Experience'!B$51</f>
        <v>5</v>
      </c>
      <c r="F48" s="115">
        <v>0</v>
      </c>
      <c r="G48" s="8">
        <f t="shared" si="4"/>
        <v>0</v>
      </c>
      <c r="H48" s="8">
        <f t="shared" ca="1" si="5"/>
        <v>32</v>
      </c>
      <c r="I48" s="8"/>
      <c r="J48" s="20"/>
      <c r="K48" s="20"/>
      <c r="L48" s="20"/>
      <c r="M48" s="20"/>
      <c r="N48" s="20"/>
      <c r="O48" s="20"/>
      <c r="P48" s="20"/>
      <c r="Q48" s="20"/>
      <c r="R48" s="20"/>
      <c r="S48" s="20"/>
      <c r="T48" s="20"/>
      <c r="U48" s="20"/>
      <c r="V48" s="20"/>
      <c r="W48" s="20"/>
      <c r="X48" s="20"/>
      <c r="Y48" s="20"/>
      <c r="Z48" s="20"/>
    </row>
    <row r="49" spans="1:26" x14ac:dyDescent="0.25">
      <c r="B49" s="7" t="s">
        <v>122</v>
      </c>
      <c r="C49" t="s">
        <v>165</v>
      </c>
      <c r="D49" t="s">
        <v>166</v>
      </c>
      <c r="E49" s="104">
        <f ca="1">5*'Characteristics &amp; Experience'!B$47</f>
        <v>10</v>
      </c>
      <c r="F49" s="115">
        <v>0</v>
      </c>
      <c r="G49" s="8">
        <f t="shared" si="4"/>
        <v>0</v>
      </c>
      <c r="H49" s="8">
        <f t="shared" ca="1" si="5"/>
        <v>37</v>
      </c>
      <c r="I49" s="8"/>
      <c r="J49" s="20"/>
      <c r="K49" s="20"/>
      <c r="L49" s="20"/>
      <c r="M49" s="20"/>
      <c r="N49" s="20"/>
      <c r="O49" s="20"/>
      <c r="P49" s="20"/>
      <c r="Q49" s="20"/>
      <c r="R49" s="20"/>
      <c r="S49" s="20"/>
      <c r="T49" s="20"/>
      <c r="U49" s="20"/>
      <c r="V49" s="20"/>
      <c r="W49" s="20"/>
      <c r="X49" s="20"/>
      <c r="Y49" s="20"/>
      <c r="Z49" s="20"/>
    </row>
    <row r="50" spans="1:26" x14ac:dyDescent="0.25">
      <c r="B50" s="7" t="s">
        <v>122</v>
      </c>
      <c r="C50" t="s">
        <v>167</v>
      </c>
      <c r="D50" s="4" t="s">
        <v>168</v>
      </c>
      <c r="E50" s="8">
        <f ca="1">5*'Characteristics &amp; Experience'!B$50</f>
        <v>10</v>
      </c>
      <c r="F50" s="115">
        <v>0</v>
      </c>
      <c r="G50" s="8">
        <f t="shared" si="4"/>
        <v>0</v>
      </c>
      <c r="H50" s="8">
        <f t="shared" ca="1" si="5"/>
        <v>37</v>
      </c>
      <c r="I50" s="8"/>
      <c r="J50" s="20"/>
      <c r="K50" s="20"/>
      <c r="L50" s="20"/>
      <c r="M50" s="20"/>
      <c r="N50" s="20"/>
      <c r="O50" s="20"/>
      <c r="P50" s="20"/>
      <c r="Q50" s="20"/>
      <c r="R50" s="20"/>
      <c r="S50" s="20"/>
      <c r="T50" s="20"/>
      <c r="U50" s="20"/>
      <c r="V50" s="20"/>
      <c r="W50" s="20"/>
      <c r="X50" s="20"/>
      <c r="Y50" s="20"/>
      <c r="Z50" s="20"/>
    </row>
    <row r="51" spans="1:26" x14ac:dyDescent="0.25">
      <c r="B51" s="7" t="s">
        <v>122</v>
      </c>
      <c r="C51" t="s">
        <v>169</v>
      </c>
      <c r="D51" t="s">
        <v>170</v>
      </c>
      <c r="E51" s="104">
        <f ca="1">5*AVERAGE('Characteristics &amp; Experience'!B$47,'Characteristics &amp; Experience'!B$53)</f>
        <v>5</v>
      </c>
      <c r="F51" s="115">
        <v>15.6</v>
      </c>
      <c r="G51" s="8">
        <f t="shared" si="4"/>
        <v>24</v>
      </c>
      <c r="H51" s="8">
        <f t="shared" ca="1" si="5"/>
        <v>56</v>
      </c>
      <c r="I51" s="8"/>
      <c r="J51" s="20"/>
      <c r="K51" s="20"/>
      <c r="L51" s="20"/>
      <c r="M51" s="20"/>
      <c r="N51" s="20"/>
      <c r="O51" s="20"/>
      <c r="P51" s="20"/>
      <c r="Q51" s="20"/>
      <c r="R51" s="20"/>
      <c r="S51" s="20"/>
      <c r="T51" s="20"/>
      <c r="U51" s="20"/>
      <c r="V51" s="20"/>
      <c r="W51" s="20"/>
      <c r="X51" s="20"/>
      <c r="Y51" s="20"/>
      <c r="Z51" s="20"/>
    </row>
    <row r="52" spans="1:26" x14ac:dyDescent="0.25">
      <c r="B52" s="7" t="s">
        <v>122</v>
      </c>
      <c r="C52" t="s">
        <v>171</v>
      </c>
      <c r="D52" t="s">
        <v>172</v>
      </c>
      <c r="E52" s="104">
        <f ca="1">5*'Characteristics &amp; Experience'!B$47</f>
        <v>10</v>
      </c>
      <c r="F52" s="115">
        <v>0</v>
      </c>
      <c r="G52" s="8">
        <f t="shared" si="4"/>
        <v>0</v>
      </c>
      <c r="H52" s="8">
        <f t="shared" ca="1" si="5"/>
        <v>37</v>
      </c>
      <c r="I52" s="8"/>
      <c r="J52" s="20"/>
      <c r="K52" s="20"/>
      <c r="L52" s="20"/>
      <c r="M52" s="20"/>
      <c r="N52" s="20"/>
      <c r="O52" s="20"/>
      <c r="P52" s="20"/>
      <c r="Q52" s="20"/>
      <c r="R52" s="20"/>
      <c r="S52" s="20"/>
      <c r="T52" s="20"/>
      <c r="U52" s="20"/>
      <c r="V52" s="20"/>
      <c r="W52" s="20"/>
      <c r="X52" s="20"/>
      <c r="Y52" s="20"/>
      <c r="Z52" s="20"/>
    </row>
    <row r="53" spans="1:26" x14ac:dyDescent="0.25">
      <c r="B53" s="7" t="s">
        <v>122</v>
      </c>
      <c r="C53" t="s">
        <v>1192</v>
      </c>
      <c r="D53" t="s">
        <v>1381</v>
      </c>
      <c r="E53" s="8">
        <f ca="1">5*AVERAGE('Characteristics &amp; Experience'!B48,'Characteristics &amp; Experience'!B$49)</f>
        <v>20</v>
      </c>
      <c r="F53" s="115">
        <v>1</v>
      </c>
      <c r="G53" s="8">
        <f t="shared" si="4"/>
        <v>4</v>
      </c>
      <c r="H53" s="8">
        <f t="shared" ref="H53" ca="1" si="6">INT(SUM(H$7,B$29,C$29,E53,G53))</f>
        <v>51</v>
      </c>
      <c r="I53" s="8"/>
      <c r="J53" s="20"/>
      <c r="K53" s="20"/>
      <c r="L53" s="20"/>
      <c r="M53" s="20"/>
      <c r="N53" s="20"/>
      <c r="O53" s="20"/>
      <c r="P53" s="20"/>
      <c r="Q53" s="20"/>
      <c r="R53" s="20"/>
      <c r="S53" s="20"/>
      <c r="T53" s="20"/>
      <c r="U53" s="20"/>
      <c r="V53" s="20"/>
      <c r="W53" s="20"/>
      <c r="X53" s="20"/>
      <c r="Y53" s="20"/>
      <c r="Z53" s="20"/>
    </row>
    <row r="54" spans="1:26" x14ac:dyDescent="0.25">
      <c r="A54" t="s">
        <v>173</v>
      </c>
      <c r="B54" s="24">
        <v>1</v>
      </c>
      <c r="C54">
        <f>VLOOKUP(Race,SMs!$A$4:$G$34,5,FALSE)</f>
        <v>0</v>
      </c>
      <c r="D54" t="s">
        <v>174</v>
      </c>
      <c r="E54" s="8">
        <f ca="1">5*AVERAGE('Characteristics &amp; Experience'!B$42,'Characteristics &amp; Experience'!B$53)</f>
        <v>-7.5</v>
      </c>
      <c r="F54" s="115">
        <v>3.4</v>
      </c>
      <c r="G54" s="8">
        <f t="shared" si="4"/>
        <v>10</v>
      </c>
      <c r="H54" s="8">
        <f t="shared" ref="H54:H61" ca="1" si="7">INT(SUM(H$7,B$55,C$55,E54,G54))</f>
        <v>25</v>
      </c>
      <c r="I54" s="8"/>
      <c r="J54" s="20"/>
      <c r="K54" s="20"/>
      <c r="L54" s="20"/>
      <c r="M54" s="20"/>
      <c r="N54" s="20"/>
      <c r="O54" s="20"/>
      <c r="P54" s="20"/>
      <c r="Q54" s="20"/>
      <c r="R54" s="20"/>
      <c r="S54" s="20"/>
      <c r="T54" s="20"/>
      <c r="U54" s="20"/>
      <c r="V54" s="20"/>
      <c r="W54" s="20"/>
      <c r="X54" s="20"/>
      <c r="Y54" s="20"/>
      <c r="Z54" s="20"/>
    </row>
    <row r="55" spans="1:26" x14ac:dyDescent="0.25">
      <c r="B55">
        <f>5*B54</f>
        <v>5</v>
      </c>
      <c r="C55">
        <f>5*C54</f>
        <v>0</v>
      </c>
      <c r="D55" t="s">
        <v>175</v>
      </c>
      <c r="E55" s="116">
        <f ca="1">5*AVERAGE('Characteristics &amp; Experience'!B$42,'Characteristics &amp; Experience'!B$53,'Characteristics &amp; Experience'!B$54)</f>
        <v>-8.3333333333333339</v>
      </c>
      <c r="F55" s="115">
        <v>4.5</v>
      </c>
      <c r="G55" s="8">
        <f t="shared" si="4"/>
        <v>12</v>
      </c>
      <c r="H55" s="8">
        <f t="shared" ca="1" si="7"/>
        <v>26</v>
      </c>
      <c r="I55" s="8"/>
      <c r="J55" s="20"/>
      <c r="K55" s="20"/>
      <c r="L55" s="20"/>
      <c r="M55" s="20"/>
      <c r="N55" s="20"/>
      <c r="O55" s="20"/>
      <c r="P55" s="20"/>
      <c r="Q55" s="20"/>
      <c r="R55" s="20"/>
      <c r="S55" s="20"/>
      <c r="T55" s="20"/>
      <c r="U55" s="20"/>
      <c r="V55" s="20"/>
      <c r="W55" s="20"/>
      <c r="X55" s="20"/>
      <c r="Y55" s="20"/>
      <c r="Z55" s="20"/>
    </row>
    <row r="56" spans="1:26" x14ac:dyDescent="0.25">
      <c r="D56" t="s">
        <v>176</v>
      </c>
      <c r="E56" s="8">
        <f ca="1">5*AVERAGE('Characteristics &amp; Experience'!B$53,'Characteristics &amp; Experience'!B$54)</f>
        <v>-5</v>
      </c>
      <c r="F56" s="115">
        <v>0.3</v>
      </c>
      <c r="G56" s="8">
        <f t="shared" si="4"/>
        <v>0</v>
      </c>
      <c r="H56" s="8">
        <f t="shared" ca="1" si="7"/>
        <v>17</v>
      </c>
      <c r="I56" s="8"/>
      <c r="J56" s="20"/>
      <c r="K56" s="20"/>
      <c r="L56" s="20"/>
      <c r="M56" s="20"/>
      <c r="N56" s="20"/>
      <c r="O56" s="20"/>
      <c r="P56" s="20"/>
      <c r="Q56" s="20"/>
      <c r="R56" s="20"/>
      <c r="S56" s="20"/>
      <c r="T56" s="20"/>
      <c r="U56" s="20"/>
      <c r="V56" s="20"/>
      <c r="W56" s="20"/>
      <c r="X56" s="20"/>
      <c r="Y56" s="20"/>
      <c r="Z56" s="20"/>
    </row>
    <row r="57" spans="1:26" x14ac:dyDescent="0.25">
      <c r="D57" t="s">
        <v>177</v>
      </c>
      <c r="E57" s="8">
        <f ca="1">5*AVERAGE('Characteristics &amp; Experience'!B$53,'Characteristics &amp; Experience'!B$54)</f>
        <v>-5</v>
      </c>
      <c r="F57" s="115">
        <v>0.2</v>
      </c>
      <c r="G57" s="8">
        <f t="shared" si="4"/>
        <v>0</v>
      </c>
      <c r="H57" s="8">
        <f t="shared" ca="1" si="7"/>
        <v>17</v>
      </c>
      <c r="I57" s="8"/>
      <c r="J57" s="20"/>
      <c r="K57" s="20"/>
      <c r="L57" s="20"/>
      <c r="M57" s="20"/>
      <c r="N57" s="20"/>
      <c r="O57" s="20"/>
      <c r="P57" s="20"/>
      <c r="Q57" s="20"/>
      <c r="R57" s="20"/>
      <c r="S57" s="20"/>
      <c r="T57" s="20"/>
      <c r="U57" s="20"/>
      <c r="V57" s="20"/>
      <c r="W57" s="20"/>
      <c r="X57" s="20"/>
      <c r="Y57" s="20"/>
      <c r="Z57" s="20"/>
    </row>
    <row r="58" spans="1:26" x14ac:dyDescent="0.25">
      <c r="B58" s="7" t="s">
        <v>122</v>
      </c>
      <c r="C58" t="s">
        <v>178</v>
      </c>
      <c r="D58" t="s">
        <v>179</v>
      </c>
      <c r="E58" s="8">
        <f ca="1">5*AVERAGE('Characteristics &amp; Experience'!B$42,'Characteristics &amp; Experience'!B$53)</f>
        <v>-7.5</v>
      </c>
      <c r="F58" s="115">
        <v>0</v>
      </c>
      <c r="G58" s="8">
        <f t="shared" si="4"/>
        <v>0</v>
      </c>
      <c r="H58" s="8">
        <f t="shared" ca="1" si="7"/>
        <v>15</v>
      </c>
      <c r="I58" s="8"/>
      <c r="J58" s="20"/>
      <c r="K58" s="20"/>
      <c r="L58" s="20"/>
      <c r="M58" s="20"/>
      <c r="N58" s="20"/>
      <c r="O58" s="20"/>
      <c r="P58" s="20"/>
      <c r="Q58" s="20"/>
      <c r="R58" s="20"/>
      <c r="S58" s="20"/>
      <c r="T58" s="20"/>
      <c r="U58" s="20"/>
      <c r="V58" s="20"/>
      <c r="W58" s="20"/>
      <c r="X58" s="20"/>
      <c r="Y58" s="20"/>
      <c r="Z58" s="20"/>
    </row>
    <row r="59" spans="1:26" x14ac:dyDescent="0.25">
      <c r="B59" s="7" t="s">
        <v>122</v>
      </c>
      <c r="C59" t="s">
        <v>169</v>
      </c>
      <c r="D59" t="s">
        <v>180</v>
      </c>
      <c r="E59" s="8">
        <f ca="1">5*AVERAGE('Characteristics &amp; Experience'!B$42,'Characteristics &amp; Experience'!B$53)</f>
        <v>-7.5</v>
      </c>
      <c r="F59" s="115">
        <v>0</v>
      </c>
      <c r="G59" s="8">
        <f t="shared" si="4"/>
        <v>0</v>
      </c>
      <c r="H59" s="8">
        <f t="shared" ca="1" si="7"/>
        <v>15</v>
      </c>
      <c r="I59" s="8"/>
      <c r="J59" s="20"/>
      <c r="K59" s="20"/>
      <c r="L59" s="20"/>
      <c r="M59" s="20"/>
      <c r="N59" s="20"/>
      <c r="O59" s="20"/>
      <c r="P59" s="20"/>
      <c r="Q59" s="20"/>
      <c r="R59" s="20"/>
      <c r="S59" s="20"/>
      <c r="T59" s="20"/>
      <c r="U59" s="20"/>
      <c r="V59" s="20"/>
      <c r="W59" s="20"/>
      <c r="X59" s="20"/>
      <c r="Y59" s="20"/>
      <c r="Z59" s="20"/>
    </row>
    <row r="60" spans="1:26" x14ac:dyDescent="0.25">
      <c r="B60" s="7" t="s">
        <v>122</v>
      </c>
      <c r="C60" t="s">
        <v>169</v>
      </c>
      <c r="D60" t="s">
        <v>181</v>
      </c>
      <c r="E60" s="8">
        <f ca="1">5*AVERAGE('Characteristics &amp; Experience'!B$50,'Characteristics &amp; Experience'!B$53)</f>
        <v>5</v>
      </c>
      <c r="F60" s="115">
        <v>0</v>
      </c>
      <c r="G60" s="8">
        <f t="shared" si="4"/>
        <v>0</v>
      </c>
      <c r="H60" s="8">
        <f t="shared" ca="1" si="7"/>
        <v>27</v>
      </c>
      <c r="I60" s="8"/>
      <c r="J60" s="20"/>
      <c r="K60" s="20"/>
      <c r="L60" s="20"/>
      <c r="M60" s="20"/>
      <c r="N60" s="20"/>
      <c r="O60" s="20"/>
      <c r="P60" s="20"/>
      <c r="Q60" s="20"/>
      <c r="R60" s="20"/>
      <c r="S60" s="20"/>
      <c r="T60" s="20"/>
      <c r="U60" s="20"/>
      <c r="V60" s="20"/>
      <c r="W60" s="20"/>
      <c r="X60" s="20"/>
      <c r="Y60" s="20"/>
      <c r="Z60" s="20"/>
    </row>
    <row r="61" spans="1:26" x14ac:dyDescent="0.25">
      <c r="B61" s="7" t="s">
        <v>122</v>
      </c>
      <c r="C61" t="s">
        <v>138</v>
      </c>
      <c r="D61" t="s">
        <v>182</v>
      </c>
      <c r="E61" s="8">
        <f ca="1">5*AVERAGE('Characteristics &amp; Experience'!B$54,'Characteristics &amp; Experience'!B$56)</f>
        <v>0</v>
      </c>
      <c r="F61" s="115">
        <v>0</v>
      </c>
      <c r="G61" s="8">
        <f t="shared" si="4"/>
        <v>0</v>
      </c>
      <c r="H61" s="8">
        <f t="shared" ca="1" si="7"/>
        <v>22</v>
      </c>
      <c r="I61" s="8"/>
      <c r="J61" s="20"/>
      <c r="K61" s="20"/>
      <c r="L61" s="20"/>
      <c r="M61" s="20"/>
      <c r="N61" s="20"/>
      <c r="O61" s="20"/>
      <c r="P61" s="20"/>
      <c r="Q61" s="20"/>
      <c r="R61" s="20"/>
      <c r="S61" s="20"/>
      <c r="T61" s="20"/>
      <c r="U61" s="20"/>
      <c r="V61" s="20"/>
      <c r="W61" s="20"/>
      <c r="X61" s="20"/>
      <c r="Y61" s="20"/>
      <c r="Z61" s="20"/>
    </row>
    <row r="62" spans="1:26" x14ac:dyDescent="0.25">
      <c r="A62" t="s">
        <v>183</v>
      </c>
      <c r="B62" s="24">
        <v>1</v>
      </c>
      <c r="C62">
        <f>VLOOKUP(Race,SMs!$A$4:$G$34,6,FALSE)</f>
        <v>0</v>
      </c>
      <c r="D62" s="4" t="s">
        <v>184</v>
      </c>
      <c r="E62" s="8">
        <f ca="1">5*'Characteristics &amp; Experience'!B$42</f>
        <v>-15</v>
      </c>
      <c r="F62" s="115">
        <v>4.5999999999999996</v>
      </c>
      <c r="G62" s="8">
        <f t="shared" si="4"/>
        <v>12</v>
      </c>
      <c r="H62" s="8">
        <f t="shared" ref="H62:H67" ca="1" si="8">INT(SUM(H$7,B$63,C$63,E62,G62))</f>
        <v>19</v>
      </c>
      <c r="I62" s="8"/>
      <c r="J62" s="20"/>
      <c r="K62" s="20"/>
      <c r="L62" s="20"/>
      <c r="M62" s="20"/>
      <c r="N62" s="20"/>
      <c r="O62" s="20"/>
      <c r="P62" s="20"/>
      <c r="Q62" s="20"/>
      <c r="R62" s="20"/>
      <c r="S62" s="20"/>
      <c r="T62" s="20"/>
      <c r="U62" s="20"/>
      <c r="V62" s="20"/>
      <c r="W62" s="20"/>
      <c r="X62" s="20"/>
      <c r="Y62" s="20"/>
      <c r="Z62" s="20"/>
    </row>
    <row r="63" spans="1:26" x14ac:dyDescent="0.25">
      <c r="B63">
        <f>5*B62</f>
        <v>5</v>
      </c>
      <c r="C63">
        <f>5*C62</f>
        <v>0</v>
      </c>
      <c r="D63" s="4" t="s">
        <v>185</v>
      </c>
      <c r="E63" s="8">
        <f ca="1">5*AVERAGE('Characteristics &amp; Experience'!B$42,'Characteristics &amp; Experience'!B$49)</f>
        <v>-5</v>
      </c>
      <c r="F63" s="115">
        <v>3.7</v>
      </c>
      <c r="G63" s="8">
        <f t="shared" si="4"/>
        <v>10</v>
      </c>
      <c r="H63" s="8">
        <f t="shared" ca="1" si="8"/>
        <v>27</v>
      </c>
      <c r="I63" s="8"/>
      <c r="J63" s="20"/>
      <c r="K63" s="20"/>
      <c r="L63" s="20"/>
      <c r="M63" s="20"/>
      <c r="N63" s="20"/>
      <c r="O63" s="20"/>
      <c r="P63" s="20"/>
      <c r="Q63" s="20"/>
      <c r="R63" s="20"/>
      <c r="S63" s="20"/>
      <c r="T63" s="20"/>
      <c r="U63" s="20"/>
      <c r="V63" s="20"/>
      <c r="W63" s="20"/>
      <c r="X63" s="20"/>
      <c r="Y63" s="20"/>
      <c r="Z63" s="20"/>
    </row>
    <row r="64" spans="1:26" x14ac:dyDescent="0.25">
      <c r="D64" s="4" t="s">
        <v>186</v>
      </c>
      <c r="E64" s="8">
        <f ca="1">5*'Characteristics &amp; Experience'!B$42</f>
        <v>-15</v>
      </c>
      <c r="F64" s="115">
        <v>2.9</v>
      </c>
      <c r="G64" s="8">
        <f t="shared" si="4"/>
        <v>8</v>
      </c>
      <c r="H64" s="8">
        <f t="shared" ca="1" si="8"/>
        <v>15</v>
      </c>
      <c r="I64" s="8"/>
      <c r="J64" s="20"/>
      <c r="K64" s="20"/>
      <c r="L64" s="20"/>
      <c r="M64" s="20"/>
      <c r="N64" s="20"/>
      <c r="O64" s="20"/>
      <c r="P64" s="20"/>
      <c r="Q64" s="20"/>
      <c r="R64" s="20"/>
      <c r="S64" s="20"/>
      <c r="T64" s="20"/>
      <c r="U64" s="20"/>
      <c r="V64" s="20"/>
      <c r="W64" s="20"/>
      <c r="X64" s="20"/>
      <c r="Y64" s="20"/>
      <c r="Z64" s="20"/>
    </row>
    <row r="65" spans="1:26" x14ac:dyDescent="0.25">
      <c r="D65" t="s">
        <v>187</v>
      </c>
      <c r="E65" s="8">
        <f ca="1">5*AVERAGE('Characteristics &amp; Experience'!B$42,'Characteristics &amp; Experience'!B$52)</f>
        <v>0</v>
      </c>
      <c r="F65" s="115">
        <v>1.1000000000000001</v>
      </c>
      <c r="G65" s="8">
        <f t="shared" si="4"/>
        <v>4</v>
      </c>
      <c r="H65" s="8">
        <f t="shared" ca="1" si="8"/>
        <v>26</v>
      </c>
      <c r="I65" s="8"/>
      <c r="J65" s="20"/>
      <c r="K65" s="20"/>
      <c r="L65" s="20"/>
      <c r="M65" s="20"/>
      <c r="N65" s="20"/>
      <c r="O65" s="20"/>
      <c r="P65" s="20"/>
      <c r="Q65" s="20"/>
      <c r="R65" s="20"/>
      <c r="S65" s="20"/>
      <c r="T65" s="20"/>
      <c r="U65" s="20"/>
      <c r="V65" s="20"/>
      <c r="W65" s="20"/>
      <c r="X65" s="20"/>
      <c r="Y65" s="20"/>
      <c r="Z65" s="20"/>
    </row>
    <row r="66" spans="1:26" x14ac:dyDescent="0.25">
      <c r="D66" t="s">
        <v>188</v>
      </c>
      <c r="E66" s="8">
        <f ca="1">5*AVERAGE('Characteristics &amp; Experience'!B$42,'Characteristics &amp; Experience'!B$52)</f>
        <v>0</v>
      </c>
      <c r="F66" s="115">
        <v>2.1</v>
      </c>
      <c r="G66" s="8">
        <f t="shared" si="4"/>
        <v>8</v>
      </c>
      <c r="H66" s="8">
        <f t="shared" ca="1" si="8"/>
        <v>30</v>
      </c>
      <c r="I66" s="8"/>
      <c r="J66" s="20"/>
      <c r="K66" s="20"/>
      <c r="L66" s="20"/>
      <c r="M66" s="20"/>
      <c r="N66" s="20"/>
      <c r="O66" s="20"/>
      <c r="P66" s="20"/>
      <c r="Q66" s="20"/>
      <c r="R66" s="20"/>
      <c r="S66" s="20"/>
      <c r="T66" s="20"/>
      <c r="U66" s="20"/>
      <c r="V66" s="20"/>
      <c r="W66" s="20"/>
      <c r="X66" s="20"/>
      <c r="Y66" s="20"/>
      <c r="Z66" s="20"/>
    </row>
    <row r="67" spans="1:26" x14ac:dyDescent="0.25">
      <c r="B67" s="7" t="s">
        <v>122</v>
      </c>
      <c r="C67" t="s">
        <v>138</v>
      </c>
      <c r="D67" t="s">
        <v>189</v>
      </c>
      <c r="E67" s="8">
        <f ca="1">5*AVERAGE('Characteristics &amp; Experience'!B$42,'Characteristics &amp; Experience'!B$52)</f>
        <v>0</v>
      </c>
      <c r="F67" s="115">
        <v>0</v>
      </c>
      <c r="G67" s="8">
        <f t="shared" si="4"/>
        <v>0</v>
      </c>
      <c r="H67" s="8">
        <f t="shared" ca="1" si="8"/>
        <v>22</v>
      </c>
      <c r="I67" s="8"/>
      <c r="J67" s="20"/>
      <c r="K67" s="20"/>
      <c r="L67" s="20"/>
      <c r="M67" s="20"/>
      <c r="N67" s="20"/>
      <c r="O67" s="20"/>
      <c r="P67" s="20"/>
      <c r="Q67" s="20"/>
      <c r="R67" s="20"/>
      <c r="S67" s="20"/>
      <c r="T67" s="20"/>
      <c r="U67" s="20"/>
      <c r="V67" s="20"/>
      <c r="W67" s="20"/>
      <c r="X67" s="20"/>
      <c r="Y67" s="20"/>
      <c r="Z67" s="20"/>
    </row>
    <row r="68" spans="1:26" x14ac:dyDescent="0.25">
      <c r="A68" t="s">
        <v>190</v>
      </c>
      <c r="B68" s="24">
        <v>1</v>
      </c>
      <c r="C68">
        <f>VLOOKUP(Race,SMs!$A$4:$G$34,7,FALSE)</f>
        <v>0</v>
      </c>
      <c r="D68" t="s">
        <v>191</v>
      </c>
      <c r="E68" s="8">
        <f ca="1">5*AVERAGE('Characteristics &amp; Experience'!B$42,'Characteristics &amp; Experience'!B$53)</f>
        <v>-7.5</v>
      </c>
      <c r="F68" s="115">
        <v>3.1</v>
      </c>
      <c r="G68" s="8">
        <f t="shared" si="4"/>
        <v>10</v>
      </c>
      <c r="H68" s="8">
        <f t="shared" ref="H68:H74" ca="1" si="9">INT(SUM(H$7,B$69,C$69,E68,G68))-$I$2*10</f>
        <v>15</v>
      </c>
      <c r="I68" s="8"/>
      <c r="J68" s="20"/>
      <c r="K68" s="20"/>
      <c r="L68" s="20"/>
      <c r="M68" s="20"/>
      <c r="N68" s="20"/>
      <c r="O68" s="20"/>
      <c r="P68" s="20"/>
      <c r="Q68" s="20"/>
      <c r="R68" s="20"/>
      <c r="S68" s="20"/>
      <c r="T68" s="20"/>
      <c r="U68" s="20"/>
      <c r="V68" s="20"/>
      <c r="W68" s="20"/>
      <c r="X68" s="20"/>
      <c r="Y68" s="20"/>
      <c r="Z68" s="20"/>
    </row>
    <row r="69" spans="1:26" x14ac:dyDescent="0.25">
      <c r="B69">
        <f>5*B68</f>
        <v>5</v>
      </c>
      <c r="C69">
        <f>5*C68</f>
        <v>0</v>
      </c>
      <c r="D69" t="s">
        <v>192</v>
      </c>
      <c r="E69" s="8">
        <f ca="1">5*AVERAGE('Characteristics &amp; Experience'!B$42,'Characteristics &amp; Experience'!B$41)</f>
        <v>-12.5</v>
      </c>
      <c r="F69" s="115">
        <v>6.2</v>
      </c>
      <c r="G69" s="8">
        <f t="shared" si="4"/>
        <v>16</v>
      </c>
      <c r="H69" s="8">
        <f t="shared" ca="1" si="9"/>
        <v>16</v>
      </c>
      <c r="I69" s="8"/>
      <c r="J69" s="20"/>
      <c r="K69" s="20"/>
      <c r="L69" s="20"/>
      <c r="M69" s="20"/>
      <c r="N69" s="20"/>
      <c r="O69" s="20"/>
      <c r="P69" s="20"/>
      <c r="Q69" s="20"/>
      <c r="R69" s="20"/>
      <c r="S69" s="20"/>
      <c r="T69" s="20"/>
      <c r="U69" s="20"/>
      <c r="V69" s="20"/>
      <c r="W69" s="20"/>
      <c r="X69" s="20"/>
      <c r="Y69" s="20"/>
      <c r="Z69" s="20"/>
    </row>
    <row r="70" spans="1:26" x14ac:dyDescent="0.25">
      <c r="D70" t="s">
        <v>193</v>
      </c>
      <c r="E70" s="8">
        <f ca="1">5*AVERAGE('Characteristics &amp; Experience'!B$42,'Characteristics &amp; Experience'!B$41)</f>
        <v>-12.5</v>
      </c>
      <c r="F70" s="115">
        <v>4.9000000000000004</v>
      </c>
      <c r="G70" s="8">
        <f t="shared" si="4"/>
        <v>12</v>
      </c>
      <c r="H70" s="8">
        <f t="shared" ca="1" si="9"/>
        <v>12</v>
      </c>
      <c r="I70" s="8"/>
      <c r="J70" s="20"/>
      <c r="K70" s="20"/>
      <c r="L70" s="20"/>
      <c r="M70" s="20"/>
      <c r="N70" s="20"/>
      <c r="O70" s="20"/>
      <c r="P70" s="20"/>
      <c r="Q70" s="20"/>
      <c r="R70" s="20"/>
      <c r="S70" s="20"/>
      <c r="T70" s="20"/>
      <c r="U70" s="20"/>
      <c r="V70" s="20"/>
      <c r="W70" s="20"/>
      <c r="X70" s="20"/>
      <c r="Y70" s="20"/>
      <c r="Z70" s="20"/>
    </row>
    <row r="71" spans="1:26" x14ac:dyDescent="0.25">
      <c r="D71" t="s">
        <v>194</v>
      </c>
      <c r="E71" s="8">
        <f ca="1">5*'Characteristics &amp; Experience'!B$42</f>
        <v>-15</v>
      </c>
      <c r="F71" s="115">
        <v>2.5</v>
      </c>
      <c r="G71" s="8">
        <f t="shared" si="4"/>
        <v>8</v>
      </c>
      <c r="H71" s="8">
        <f t="shared" ca="1" si="9"/>
        <v>5</v>
      </c>
      <c r="I71" s="8"/>
      <c r="J71" s="20"/>
      <c r="K71" s="20"/>
      <c r="L71" s="20"/>
      <c r="M71" s="20"/>
      <c r="N71" s="20"/>
      <c r="O71" s="20"/>
      <c r="P71" s="20"/>
      <c r="Q71" s="20"/>
      <c r="R71" s="20"/>
      <c r="S71" s="20"/>
      <c r="T71" s="20"/>
      <c r="U71" s="20"/>
      <c r="V71" s="20"/>
      <c r="W71" s="20"/>
      <c r="X71" s="20"/>
      <c r="Y71" s="20"/>
      <c r="Z71" s="20"/>
    </row>
    <row r="72" spans="1:26" x14ac:dyDescent="0.25">
      <c r="D72" t="s">
        <v>195</v>
      </c>
      <c r="E72" s="8">
        <f ca="1">5*AVERAGE('Characteristics &amp; Experience'!B$42,'Characteristics &amp; Experience'!B$41)</f>
        <v>-12.5</v>
      </c>
      <c r="F72" s="115">
        <v>3.7</v>
      </c>
      <c r="G72" s="8">
        <f t="shared" si="4"/>
        <v>10</v>
      </c>
      <c r="H72" s="8">
        <f t="shared" ca="1" si="9"/>
        <v>10</v>
      </c>
      <c r="I72" s="8"/>
      <c r="J72" s="20"/>
      <c r="K72" s="20"/>
      <c r="L72" s="20"/>
      <c r="M72" s="20"/>
      <c r="N72" s="20"/>
      <c r="O72" s="20"/>
      <c r="P72" s="20"/>
      <c r="Q72" s="20"/>
      <c r="R72" s="20"/>
      <c r="S72" s="20"/>
      <c r="T72" s="20"/>
      <c r="U72" s="20"/>
      <c r="V72" s="20"/>
      <c r="W72" s="20"/>
      <c r="X72" s="20"/>
      <c r="Y72" s="20"/>
      <c r="Z72" s="20"/>
    </row>
    <row r="73" spans="1:26" x14ac:dyDescent="0.25">
      <c r="B73" s="7" t="s">
        <v>122</v>
      </c>
      <c r="C73" t="s">
        <v>196</v>
      </c>
      <c r="D73" t="s">
        <v>197</v>
      </c>
      <c r="E73" s="116">
        <f ca="1">5*AVERAGE('Characteristics &amp; Experience'!B$42,'Characteristics &amp; Experience'!B$41,'Characteristics &amp; Experience'!B$43)</f>
        <v>-1.6666666666666665</v>
      </c>
      <c r="F73" s="115">
        <v>0</v>
      </c>
      <c r="G73" s="8">
        <f t="shared" si="4"/>
        <v>0</v>
      </c>
      <c r="H73" s="8">
        <f t="shared" ca="1" si="9"/>
        <v>10</v>
      </c>
      <c r="I73" s="8"/>
      <c r="J73" s="20"/>
      <c r="K73" s="20"/>
      <c r="L73" s="20"/>
      <c r="M73" s="20"/>
      <c r="N73" s="20"/>
      <c r="O73" s="20"/>
      <c r="P73" s="20"/>
      <c r="Q73" s="20"/>
      <c r="R73" s="20"/>
      <c r="S73" s="20"/>
      <c r="T73" s="20"/>
      <c r="U73" s="20"/>
      <c r="V73" s="20"/>
      <c r="W73" s="20"/>
      <c r="X73" s="20"/>
      <c r="Y73" s="20"/>
      <c r="Z73" s="20"/>
    </row>
    <row r="74" spans="1:26" x14ac:dyDescent="0.25">
      <c r="B74" s="7" t="s">
        <v>122</v>
      </c>
      <c r="C74" t="s">
        <v>198</v>
      </c>
      <c r="D74" t="s">
        <v>199</v>
      </c>
      <c r="E74" s="116">
        <f ca="1">5*AVERAGE('Characteristics &amp; Experience'!B$42,'Characteristics &amp; Experience'!B$41,'Characteristics &amp; Experience'!B$43)</f>
        <v>-1.6666666666666665</v>
      </c>
      <c r="F74" s="115">
        <v>0</v>
      </c>
      <c r="G74" s="8">
        <f t="shared" si="4"/>
        <v>0</v>
      </c>
      <c r="H74" s="8">
        <f t="shared" ca="1" si="9"/>
        <v>10</v>
      </c>
      <c r="I74" s="8"/>
      <c r="J74" s="20"/>
      <c r="K74" s="20"/>
      <c r="L74" s="20"/>
      <c r="M74" s="20"/>
      <c r="N74" s="20"/>
      <c r="O74" s="20"/>
      <c r="P74" s="20"/>
      <c r="Q74" s="20"/>
      <c r="R74" s="20"/>
      <c r="S74" s="20"/>
      <c r="T74" s="20"/>
      <c r="U74" s="20"/>
      <c r="V74" s="20"/>
      <c r="W74" s="20"/>
      <c r="X74" s="20"/>
      <c r="Y74" s="20"/>
      <c r="Z74" s="20"/>
    </row>
    <row r="75" spans="1:26" x14ac:dyDescent="0.25">
      <c r="A75" t="s">
        <v>49</v>
      </c>
      <c r="B75">
        <f ca="1">'Characteristics &amp; Experience'!I25 - SUM((B11*(B11+1)/2)+(B18*(B18+1)/2)+(B28*(B28+1)/2)+(B54*(B54+1)/2)+(B62*(B62+1)/2)+(B68*(B68+1)/2))</f>
        <v>0</v>
      </c>
      <c r="C75" t="s">
        <v>200</v>
      </c>
      <c r="E75" s="116"/>
      <c r="F75" s="8"/>
      <c r="G75" s="8"/>
      <c r="H75" s="8"/>
      <c r="I75" s="8"/>
      <c r="J75" s="20"/>
      <c r="K75" s="20"/>
      <c r="L75" s="20"/>
      <c r="M75" s="20"/>
      <c r="N75" s="20"/>
      <c r="O75" s="20"/>
      <c r="P75" s="20"/>
      <c r="Q75" s="20"/>
      <c r="R75" s="20"/>
      <c r="S75" s="20"/>
      <c r="T75" s="20"/>
      <c r="U75" s="20"/>
      <c r="V75" s="20"/>
      <c r="W75" s="20"/>
      <c r="X75" s="20"/>
      <c r="Y75" s="20"/>
      <c r="Z75" s="20"/>
    </row>
    <row r="76" spans="1:26" x14ac:dyDescent="0.25">
      <c r="A76" s="12" t="s">
        <v>201</v>
      </c>
      <c r="B76" s="12"/>
      <c r="C76" s="30">
        <f>INT(ThL*(ThL-1)/2*37.5)</f>
        <v>164</v>
      </c>
      <c r="D76" s="12"/>
      <c r="E76" s="28" t="s">
        <v>202</v>
      </c>
      <c r="F76" s="117">
        <f>SUM(F11:F74)</f>
        <v>164.99999999999994</v>
      </c>
      <c r="G76" s="8"/>
      <c r="H76" s="8"/>
      <c r="I76" s="8"/>
      <c r="J76" s="20"/>
      <c r="K76" s="20"/>
      <c r="L76" s="20"/>
      <c r="M76" s="20"/>
      <c r="N76" s="20"/>
      <c r="O76" s="20"/>
      <c r="P76" s="20"/>
      <c r="Q76" s="20"/>
      <c r="R76" s="20"/>
      <c r="S76" s="20"/>
      <c r="T76" s="20"/>
      <c r="U76" s="20"/>
      <c r="V76" s="20"/>
      <c r="W76" s="20"/>
      <c r="X76" s="20"/>
      <c r="Y76" s="20"/>
      <c r="Z76" s="20"/>
    </row>
    <row r="77" spans="1:26" x14ac:dyDescent="0.25">
      <c r="B77" s="7" t="s">
        <v>122</v>
      </c>
      <c r="C77" t="s">
        <v>203</v>
      </c>
      <c r="E77" s="8"/>
      <c r="F77" s="8"/>
      <c r="G77" s="8"/>
      <c r="H77" s="8"/>
      <c r="I77" s="8"/>
      <c r="J77" s="20"/>
      <c r="K77" s="20"/>
      <c r="L77" s="20"/>
      <c r="M77" s="20"/>
      <c r="N77" s="20"/>
      <c r="O77" s="20"/>
      <c r="P77" s="20"/>
      <c r="Q77" s="20"/>
      <c r="R77" s="20"/>
      <c r="S77" s="20"/>
      <c r="T77" s="20"/>
      <c r="U77" s="20"/>
      <c r="V77" s="20"/>
      <c r="W77" s="20"/>
      <c r="X77" s="20"/>
      <c r="Y77" s="20"/>
      <c r="Z77" s="20"/>
    </row>
    <row r="78" spans="1:26" x14ac:dyDescent="0.25">
      <c r="A78" s="20"/>
      <c r="B78" s="20"/>
      <c r="C78" s="20"/>
      <c r="D78" s="20"/>
      <c r="E78" s="106"/>
      <c r="F78" s="106"/>
      <c r="G78" s="106"/>
      <c r="H78" s="106"/>
      <c r="I78" s="106"/>
      <c r="J78" s="20"/>
      <c r="K78" s="106"/>
      <c r="L78" s="106"/>
      <c r="M78" s="106"/>
      <c r="N78" s="106"/>
      <c r="O78" s="106"/>
      <c r="P78" s="106"/>
      <c r="Q78" s="106"/>
      <c r="R78" s="106"/>
      <c r="S78" s="106"/>
      <c r="T78" s="20"/>
      <c r="U78" s="20"/>
      <c r="V78" s="20"/>
      <c r="W78" s="20"/>
      <c r="X78" s="20"/>
      <c r="Y78" s="20"/>
      <c r="Z78" s="20"/>
    </row>
    <row r="79" spans="1:26" x14ac:dyDescent="0.25">
      <c r="A79" s="20"/>
      <c r="B79" s="20"/>
      <c r="C79" s="20"/>
      <c r="D79" s="20"/>
      <c r="E79" s="106"/>
      <c r="F79" s="106"/>
      <c r="G79" s="106"/>
      <c r="H79" s="106"/>
      <c r="I79" s="106"/>
      <c r="J79" s="20"/>
      <c r="K79" s="106"/>
      <c r="L79" s="106"/>
      <c r="M79" s="106"/>
      <c r="N79" s="106"/>
      <c r="O79" s="106"/>
      <c r="P79" s="106"/>
      <c r="Q79" s="106"/>
      <c r="R79" s="106"/>
      <c r="S79" s="106"/>
      <c r="T79" s="20"/>
      <c r="U79" s="20"/>
      <c r="V79" s="20"/>
      <c r="W79" s="20"/>
      <c r="X79" s="20"/>
      <c r="Y79" s="20"/>
      <c r="Z79" s="20"/>
    </row>
    <row r="80" spans="1:26" x14ac:dyDescent="0.25">
      <c r="A80" s="21" t="s">
        <v>204</v>
      </c>
      <c r="B80" s="20"/>
      <c r="C80" s="20"/>
      <c r="D80" s="20"/>
      <c r="E80" s="106"/>
      <c r="F80" s="106"/>
      <c r="G80" s="106"/>
      <c r="H80" s="106"/>
      <c r="I80" s="106"/>
      <c r="J80" s="20"/>
      <c r="K80" s="99" t="s">
        <v>105</v>
      </c>
      <c r="L80" s="106"/>
      <c r="M80" s="106"/>
      <c r="N80" s="106"/>
      <c r="O80" s="106"/>
      <c r="P80" s="106"/>
      <c r="Q80" s="106"/>
      <c r="R80" s="106"/>
      <c r="S80" s="106"/>
      <c r="T80" s="20"/>
      <c r="U80" s="20"/>
      <c r="V80" s="20"/>
      <c r="W80" s="20"/>
      <c r="X80" s="20"/>
      <c r="Y80" s="20"/>
      <c r="Z80" s="20"/>
    </row>
    <row r="81" spans="1:26" x14ac:dyDescent="0.25">
      <c r="A81" s="34" t="s">
        <v>51</v>
      </c>
      <c r="B81" s="20" t="s">
        <v>205</v>
      </c>
      <c r="C81" s="20"/>
      <c r="D81" s="20"/>
      <c r="E81" s="106"/>
      <c r="F81" s="106"/>
      <c r="G81" s="106"/>
      <c r="H81" s="106"/>
      <c r="I81" s="106"/>
      <c r="J81" s="20"/>
      <c r="K81" s="106"/>
      <c r="L81" s="106"/>
      <c r="M81" s="106"/>
      <c r="N81" s="106"/>
      <c r="O81" s="106"/>
      <c r="P81" s="106"/>
      <c r="Q81" s="106"/>
      <c r="R81" s="106"/>
      <c r="S81" s="106"/>
      <c r="T81" s="20"/>
      <c r="U81" s="20"/>
      <c r="V81" s="20"/>
      <c r="W81" s="20"/>
      <c r="X81" s="20"/>
      <c r="Y81" s="20"/>
      <c r="Z81" s="20"/>
    </row>
    <row r="82" spans="1:26" x14ac:dyDescent="0.25">
      <c r="A82" s="20" t="s">
        <v>138</v>
      </c>
      <c r="B82" s="20" t="s">
        <v>206</v>
      </c>
      <c r="C82" s="20"/>
      <c r="D82" s="20"/>
      <c r="E82" s="106"/>
      <c r="F82" s="106"/>
      <c r="G82" s="106"/>
      <c r="H82" s="106"/>
      <c r="I82" s="106"/>
      <c r="J82" s="20"/>
      <c r="K82" s="279" t="s">
        <v>109</v>
      </c>
      <c r="L82" s="279" t="s">
        <v>110</v>
      </c>
      <c r="M82" s="106"/>
      <c r="N82" s="106"/>
      <c r="O82" s="106"/>
      <c r="P82" s="106"/>
      <c r="Q82" s="106"/>
      <c r="R82" s="106"/>
      <c r="S82" s="106"/>
      <c r="T82" s="20"/>
      <c r="U82" s="20"/>
      <c r="V82" s="20"/>
      <c r="W82" s="20"/>
      <c r="X82" s="20"/>
      <c r="Y82" s="20"/>
      <c r="Z82" s="20"/>
    </row>
    <row r="83" spans="1:26" x14ac:dyDescent="0.25">
      <c r="A83" s="20" t="s">
        <v>207</v>
      </c>
      <c r="B83" s="20" t="s">
        <v>208</v>
      </c>
      <c r="C83" s="20"/>
      <c r="D83" s="20"/>
      <c r="E83" s="106"/>
      <c r="F83" s="106"/>
      <c r="G83" s="106"/>
      <c r="H83" s="106"/>
      <c r="I83" s="106"/>
      <c r="J83" s="20"/>
      <c r="K83" s="106"/>
      <c r="L83" s="279">
        <v>0</v>
      </c>
      <c r="M83" s="279">
        <v>1</v>
      </c>
      <c r="N83" s="279">
        <v>2</v>
      </c>
      <c r="O83" s="279">
        <v>3</v>
      </c>
      <c r="P83" s="279">
        <v>4</v>
      </c>
      <c r="Q83" s="279">
        <v>5</v>
      </c>
      <c r="R83" s="279">
        <v>6</v>
      </c>
      <c r="S83" s="279">
        <v>7</v>
      </c>
      <c r="T83" s="20"/>
      <c r="U83" s="20"/>
      <c r="V83" s="20"/>
      <c r="W83" s="20"/>
      <c r="X83" s="20"/>
      <c r="Y83" s="20"/>
      <c r="Z83" s="20"/>
    </row>
    <row r="84" spans="1:26" x14ac:dyDescent="0.25">
      <c r="A84" s="20" t="s">
        <v>209</v>
      </c>
      <c r="B84" s="20" t="s">
        <v>210</v>
      </c>
      <c r="C84" s="20"/>
      <c r="D84" s="20"/>
      <c r="E84" s="106"/>
      <c r="F84" s="106"/>
      <c r="G84" s="106"/>
      <c r="H84" s="106"/>
      <c r="I84" s="106"/>
      <c r="J84" s="20"/>
      <c r="K84" s="279">
        <v>0</v>
      </c>
      <c r="L84" s="106">
        <v>0</v>
      </c>
      <c r="M84" s="106">
        <v>0</v>
      </c>
      <c r="N84" s="106">
        <v>0</v>
      </c>
      <c r="O84" s="106">
        <v>0</v>
      </c>
      <c r="P84" s="106">
        <v>0</v>
      </c>
      <c r="Q84" s="106">
        <v>0</v>
      </c>
      <c r="R84" s="106">
        <v>0</v>
      </c>
      <c r="S84" s="106">
        <v>0</v>
      </c>
      <c r="T84" s="20"/>
      <c r="U84" s="20"/>
      <c r="V84" s="20"/>
      <c r="W84" s="20"/>
      <c r="X84" s="20"/>
      <c r="Y84" s="20"/>
      <c r="Z84" s="20"/>
    </row>
    <row r="85" spans="1:26" x14ac:dyDescent="0.25">
      <c r="A85" s="20" t="s">
        <v>1192</v>
      </c>
      <c r="B85" s="20" t="s">
        <v>1193</v>
      </c>
      <c r="C85" s="20"/>
      <c r="D85" s="20"/>
      <c r="E85" s="106"/>
      <c r="F85" s="106"/>
      <c r="G85" s="106"/>
      <c r="H85" s="106"/>
      <c r="I85" s="106"/>
      <c r="J85" s="20"/>
      <c r="K85" s="279">
        <v>1</v>
      </c>
      <c r="L85" s="106">
        <v>4</v>
      </c>
      <c r="M85" s="106">
        <v>4</v>
      </c>
      <c r="N85" s="106">
        <v>4</v>
      </c>
      <c r="O85" s="106">
        <v>4</v>
      </c>
      <c r="P85" s="106">
        <v>4</v>
      </c>
      <c r="Q85" s="106">
        <v>4</v>
      </c>
      <c r="R85" s="106">
        <v>4</v>
      </c>
      <c r="S85" s="106">
        <v>4</v>
      </c>
      <c r="T85" s="20"/>
      <c r="U85" s="20"/>
      <c r="V85" s="20"/>
      <c r="W85" s="20"/>
      <c r="X85" s="20"/>
      <c r="Y85" s="20"/>
      <c r="Z85" s="20"/>
    </row>
    <row r="86" spans="1:26" x14ac:dyDescent="0.25">
      <c r="A86" s="20" t="s">
        <v>211</v>
      </c>
      <c r="B86" s="20" t="s">
        <v>212</v>
      </c>
      <c r="C86" s="20"/>
      <c r="D86" s="20"/>
      <c r="E86" s="106"/>
      <c r="F86" s="106"/>
      <c r="G86" s="106"/>
      <c r="H86" s="106"/>
      <c r="I86" s="106"/>
      <c r="J86" s="20"/>
      <c r="K86" s="279">
        <v>2</v>
      </c>
      <c r="L86" s="106">
        <v>6</v>
      </c>
      <c r="M86" s="106">
        <v>8</v>
      </c>
      <c r="N86" s="106">
        <v>8</v>
      </c>
      <c r="O86" s="106">
        <v>8</v>
      </c>
      <c r="P86" s="106">
        <v>8</v>
      </c>
      <c r="Q86" s="106">
        <v>8</v>
      </c>
      <c r="R86" s="106">
        <v>8</v>
      </c>
      <c r="S86" s="106">
        <v>8</v>
      </c>
      <c r="T86" s="20"/>
      <c r="U86" s="20"/>
      <c r="V86" s="20"/>
      <c r="W86" s="20"/>
      <c r="X86" s="20"/>
      <c r="Y86" s="20"/>
      <c r="Z86" s="20"/>
    </row>
    <row r="87" spans="1:26" x14ac:dyDescent="0.25">
      <c r="A87" s="20" t="s">
        <v>126</v>
      </c>
      <c r="B87" s="20" t="s">
        <v>213</v>
      </c>
      <c r="C87" s="20"/>
      <c r="D87" s="20"/>
      <c r="E87" s="106"/>
      <c r="F87" s="106"/>
      <c r="G87" s="106"/>
      <c r="H87" s="106"/>
      <c r="I87" s="106"/>
      <c r="J87" s="20"/>
      <c r="K87" s="279">
        <v>3</v>
      </c>
      <c r="L87" s="106">
        <v>8</v>
      </c>
      <c r="M87" s="106">
        <v>10</v>
      </c>
      <c r="N87" s="106">
        <v>12</v>
      </c>
      <c r="O87" s="106">
        <v>12</v>
      </c>
      <c r="P87" s="106">
        <v>12</v>
      </c>
      <c r="Q87" s="106">
        <v>12</v>
      </c>
      <c r="R87" s="106">
        <v>12</v>
      </c>
      <c r="S87" s="106">
        <v>12</v>
      </c>
      <c r="T87" s="20"/>
      <c r="U87" s="20"/>
      <c r="V87" s="20"/>
      <c r="W87" s="20"/>
      <c r="X87" s="20"/>
      <c r="Y87" s="20"/>
      <c r="Z87" s="20"/>
    </row>
    <row r="88" spans="1:26" x14ac:dyDescent="0.25">
      <c r="A88" s="20" t="s">
        <v>197</v>
      </c>
      <c r="B88" s="20" t="s">
        <v>214</v>
      </c>
      <c r="C88" s="20"/>
      <c r="D88" s="20"/>
      <c r="E88" s="106"/>
      <c r="F88" s="106"/>
      <c r="G88" s="106"/>
      <c r="H88" s="106"/>
      <c r="I88" s="106"/>
      <c r="J88" s="20"/>
      <c r="K88" s="279">
        <v>4</v>
      </c>
      <c r="L88" s="106">
        <v>9</v>
      </c>
      <c r="M88" s="106">
        <v>12</v>
      </c>
      <c r="N88" s="106">
        <v>14</v>
      </c>
      <c r="O88" s="106">
        <v>16</v>
      </c>
      <c r="P88" s="106">
        <v>16</v>
      </c>
      <c r="Q88" s="106">
        <v>16</v>
      </c>
      <c r="R88" s="106">
        <v>16</v>
      </c>
      <c r="S88" s="106">
        <v>16</v>
      </c>
      <c r="T88" s="20"/>
      <c r="U88" s="20"/>
      <c r="V88" s="20"/>
      <c r="W88" s="20"/>
      <c r="X88" s="20"/>
      <c r="Y88" s="20"/>
      <c r="Z88" s="20"/>
    </row>
    <row r="89" spans="1:26" x14ac:dyDescent="0.25">
      <c r="A89" s="20" t="s">
        <v>215</v>
      </c>
      <c r="B89" s="20" t="s">
        <v>216</v>
      </c>
      <c r="C89" s="20"/>
      <c r="D89" s="20"/>
      <c r="E89" s="106"/>
      <c r="F89" s="106"/>
      <c r="G89" s="106"/>
      <c r="H89" s="106"/>
      <c r="I89" s="106"/>
      <c r="J89" s="20"/>
      <c r="K89" s="279">
        <v>5</v>
      </c>
      <c r="L89" s="106">
        <v>10</v>
      </c>
      <c r="M89" s="106">
        <v>14</v>
      </c>
      <c r="N89" s="106">
        <v>16</v>
      </c>
      <c r="O89" s="106">
        <v>18</v>
      </c>
      <c r="P89" s="106">
        <v>20</v>
      </c>
      <c r="Q89" s="106">
        <v>20</v>
      </c>
      <c r="R89" s="106">
        <v>20</v>
      </c>
      <c r="S89" s="106">
        <v>20</v>
      </c>
      <c r="T89" s="20"/>
      <c r="U89" s="20"/>
      <c r="V89" s="20"/>
      <c r="W89" s="20"/>
      <c r="X89" s="20"/>
      <c r="Y89" s="20"/>
      <c r="Z89" s="20"/>
    </row>
    <row r="90" spans="1:26" x14ac:dyDescent="0.25">
      <c r="A90" s="20" t="s">
        <v>217</v>
      </c>
      <c r="B90" s="20" t="s">
        <v>218</v>
      </c>
      <c r="C90" s="20"/>
      <c r="D90" s="20"/>
      <c r="E90" s="106"/>
      <c r="F90" s="106"/>
      <c r="G90" s="106"/>
      <c r="H90" s="106"/>
      <c r="I90" s="106"/>
      <c r="J90" s="20"/>
      <c r="K90" s="279">
        <v>6</v>
      </c>
      <c r="L90" s="106">
        <v>11</v>
      </c>
      <c r="M90" s="106">
        <v>16</v>
      </c>
      <c r="N90" s="106">
        <v>18</v>
      </c>
      <c r="O90" s="106">
        <v>20</v>
      </c>
      <c r="P90" s="106">
        <v>22</v>
      </c>
      <c r="Q90" s="106">
        <v>24</v>
      </c>
      <c r="R90" s="106">
        <v>24</v>
      </c>
      <c r="S90" s="106">
        <v>24</v>
      </c>
      <c r="T90" s="20"/>
      <c r="U90" s="20"/>
      <c r="V90" s="20"/>
      <c r="W90" s="20"/>
      <c r="X90" s="20"/>
      <c r="Y90" s="20"/>
      <c r="Z90" s="20"/>
    </row>
    <row r="91" spans="1:26" x14ac:dyDescent="0.25">
      <c r="A91" s="20" t="s">
        <v>219</v>
      </c>
      <c r="B91" s="20" t="s">
        <v>220</v>
      </c>
      <c r="C91" s="20"/>
      <c r="D91" s="20"/>
      <c r="E91" s="106"/>
      <c r="F91" s="106"/>
      <c r="G91" s="106"/>
      <c r="H91" s="106"/>
      <c r="I91" s="106"/>
      <c r="J91" s="20"/>
      <c r="K91" s="279">
        <v>7</v>
      </c>
      <c r="L91" s="106">
        <v>12</v>
      </c>
      <c r="M91" s="106">
        <v>17</v>
      </c>
      <c r="N91" s="106">
        <v>20</v>
      </c>
      <c r="O91" s="106">
        <v>22</v>
      </c>
      <c r="P91" s="106">
        <v>24</v>
      </c>
      <c r="Q91" s="106">
        <v>26</v>
      </c>
      <c r="R91" s="106">
        <v>28</v>
      </c>
      <c r="S91" s="106">
        <v>28</v>
      </c>
      <c r="T91" s="20"/>
      <c r="U91" s="20"/>
      <c r="V91" s="20"/>
      <c r="W91" s="20"/>
      <c r="X91" s="20"/>
      <c r="Y91" s="20"/>
      <c r="Z91" s="20"/>
    </row>
    <row r="92" spans="1:26" x14ac:dyDescent="0.25">
      <c r="A92" s="20" t="s">
        <v>221</v>
      </c>
      <c r="B92" s="20" t="s">
        <v>222</v>
      </c>
      <c r="C92" s="20"/>
      <c r="D92" s="20"/>
      <c r="E92" s="106"/>
      <c r="F92" s="106"/>
      <c r="G92" s="106"/>
      <c r="H92" s="106"/>
      <c r="I92" s="106"/>
      <c r="J92" s="20"/>
      <c r="K92" s="279">
        <v>8</v>
      </c>
      <c r="L92" s="106">
        <f>L91</f>
        <v>12</v>
      </c>
      <c r="M92" s="106">
        <v>18</v>
      </c>
      <c r="N92" s="106">
        <v>22</v>
      </c>
      <c r="O92" s="106">
        <v>24</v>
      </c>
      <c r="P92" s="106">
        <v>26</v>
      </c>
      <c r="Q92" s="106">
        <v>28</v>
      </c>
      <c r="R92" s="106">
        <v>30</v>
      </c>
      <c r="S92" s="106">
        <v>32</v>
      </c>
      <c r="T92" s="20"/>
      <c r="U92" s="20"/>
      <c r="V92" s="20"/>
      <c r="W92" s="20"/>
      <c r="X92" s="20"/>
      <c r="Y92" s="20"/>
      <c r="Z92" s="20"/>
    </row>
    <row r="93" spans="1:26" x14ac:dyDescent="0.25">
      <c r="A93" s="20" t="s">
        <v>223</v>
      </c>
      <c r="B93" s="20" t="s">
        <v>224</v>
      </c>
      <c r="C93" s="20"/>
      <c r="D93" s="20"/>
      <c r="E93" s="106"/>
      <c r="F93" s="106"/>
      <c r="G93" s="106"/>
      <c r="H93" s="106"/>
      <c r="I93" s="106"/>
      <c r="J93" s="20"/>
      <c r="K93" s="279">
        <v>9</v>
      </c>
      <c r="L93" s="106">
        <f>L92+1</f>
        <v>13</v>
      </c>
      <c r="M93" s="106">
        <v>19</v>
      </c>
      <c r="N93" s="106">
        <v>24</v>
      </c>
      <c r="O93" s="106">
        <v>26</v>
      </c>
      <c r="P93" s="106">
        <v>28</v>
      </c>
      <c r="Q93" s="106">
        <v>30</v>
      </c>
      <c r="R93" s="106">
        <v>32</v>
      </c>
      <c r="S93" s="106">
        <v>34</v>
      </c>
      <c r="T93" s="20"/>
      <c r="U93" s="20"/>
      <c r="V93" s="20"/>
      <c r="W93" s="20"/>
      <c r="X93" s="20"/>
      <c r="Y93" s="20"/>
      <c r="Z93" s="20"/>
    </row>
    <row r="94" spans="1:26" x14ac:dyDescent="0.25">
      <c r="A94" s="20" t="s">
        <v>163</v>
      </c>
      <c r="B94" s="20" t="s">
        <v>225</v>
      </c>
      <c r="C94" s="20"/>
      <c r="D94" s="20"/>
      <c r="E94" s="106"/>
      <c r="F94" s="106"/>
      <c r="G94" s="106"/>
      <c r="H94" s="106"/>
      <c r="I94" s="106"/>
      <c r="J94" s="20"/>
      <c r="K94" s="279">
        <v>10</v>
      </c>
      <c r="L94" s="106">
        <f>L93</f>
        <v>13</v>
      </c>
      <c r="M94" s="106">
        <v>20</v>
      </c>
      <c r="N94" s="106">
        <v>25</v>
      </c>
      <c r="O94" s="106">
        <v>28</v>
      </c>
      <c r="P94" s="106">
        <v>30</v>
      </c>
      <c r="Q94" s="106">
        <v>32</v>
      </c>
      <c r="R94" s="106">
        <v>34</v>
      </c>
      <c r="S94" s="106">
        <v>36</v>
      </c>
      <c r="T94" s="20"/>
      <c r="U94" s="20"/>
      <c r="V94" s="20"/>
      <c r="W94" s="20"/>
      <c r="X94" s="20"/>
      <c r="Y94" s="20"/>
      <c r="Z94" s="20"/>
    </row>
    <row r="95" spans="1:26" x14ac:dyDescent="0.25">
      <c r="A95" s="20" t="s">
        <v>171</v>
      </c>
      <c r="B95" s="20" t="s">
        <v>226</v>
      </c>
      <c r="C95" s="20"/>
      <c r="D95" s="20"/>
      <c r="E95" s="106"/>
      <c r="F95" s="106"/>
      <c r="G95" s="106"/>
      <c r="H95" s="106"/>
      <c r="I95" s="106"/>
      <c r="J95" s="20"/>
      <c r="K95" s="279">
        <v>11</v>
      </c>
      <c r="L95" s="106">
        <f>L94+1</f>
        <v>14</v>
      </c>
      <c r="M95" s="106">
        <v>21</v>
      </c>
      <c r="N95" s="106">
        <v>26</v>
      </c>
      <c r="O95" s="106">
        <v>30</v>
      </c>
      <c r="P95" s="106">
        <v>32</v>
      </c>
      <c r="Q95" s="106">
        <v>34</v>
      </c>
      <c r="R95" s="106">
        <v>36</v>
      </c>
      <c r="S95" s="106">
        <v>38</v>
      </c>
      <c r="T95" s="20"/>
      <c r="U95" s="20"/>
      <c r="V95" s="20"/>
      <c r="W95" s="20"/>
      <c r="X95" s="20"/>
      <c r="Y95" s="20"/>
      <c r="Z95" s="20"/>
    </row>
    <row r="96" spans="1:26" x14ac:dyDescent="0.25">
      <c r="A96" s="20" t="s">
        <v>227</v>
      </c>
      <c r="B96" s="20" t="s">
        <v>228</v>
      </c>
      <c r="C96" s="20"/>
      <c r="D96" s="20"/>
      <c r="E96" s="106"/>
      <c r="F96" s="106"/>
      <c r="G96" s="106"/>
      <c r="H96" s="106"/>
      <c r="I96" s="106"/>
      <c r="J96" s="20"/>
      <c r="K96" s="279">
        <v>12</v>
      </c>
      <c r="L96" s="106">
        <f>L95</f>
        <v>14</v>
      </c>
      <c r="M96" s="106">
        <v>22</v>
      </c>
      <c r="N96" s="106">
        <v>27</v>
      </c>
      <c r="O96" s="106">
        <v>32</v>
      </c>
      <c r="P96" s="106">
        <v>34</v>
      </c>
      <c r="Q96" s="106">
        <v>36</v>
      </c>
      <c r="R96" s="106">
        <v>38</v>
      </c>
      <c r="S96" s="106">
        <v>40</v>
      </c>
      <c r="T96" s="20"/>
      <c r="U96" s="20"/>
      <c r="V96" s="20"/>
      <c r="W96" s="20"/>
      <c r="X96" s="20"/>
      <c r="Y96" s="20"/>
      <c r="Z96" s="20"/>
    </row>
    <row r="97" spans="1:26" x14ac:dyDescent="0.25">
      <c r="A97" s="20"/>
      <c r="B97" s="20"/>
      <c r="C97" s="20"/>
      <c r="D97" s="20"/>
      <c r="E97" s="106"/>
      <c r="F97" s="106"/>
      <c r="G97" s="106"/>
      <c r="H97" s="106"/>
      <c r="I97" s="106"/>
      <c r="J97" s="20"/>
      <c r="K97" s="279">
        <v>13</v>
      </c>
      <c r="L97" s="106">
        <f>L96+1</f>
        <v>15</v>
      </c>
      <c r="M97" s="106">
        <v>23</v>
      </c>
      <c r="N97" s="106">
        <v>28</v>
      </c>
      <c r="O97" s="106">
        <v>33</v>
      </c>
      <c r="P97" s="106">
        <v>36</v>
      </c>
      <c r="Q97" s="106">
        <v>38</v>
      </c>
      <c r="R97" s="106">
        <v>40</v>
      </c>
      <c r="S97" s="106">
        <v>42</v>
      </c>
      <c r="T97" s="20"/>
      <c r="U97" s="20"/>
      <c r="V97" s="20"/>
      <c r="W97" s="20"/>
      <c r="X97" s="20"/>
      <c r="Y97" s="20"/>
      <c r="Z97" s="20"/>
    </row>
    <row r="98" spans="1:26" x14ac:dyDescent="0.25">
      <c r="A98" s="20"/>
      <c r="B98" s="20"/>
      <c r="C98" s="20"/>
      <c r="D98" s="20"/>
      <c r="E98" s="106"/>
      <c r="F98" s="106"/>
      <c r="G98" s="106"/>
      <c r="H98" s="106"/>
      <c r="I98" s="106"/>
      <c r="J98" s="20"/>
      <c r="K98" s="279">
        <v>14</v>
      </c>
      <c r="L98" s="106">
        <f>L97</f>
        <v>15</v>
      </c>
      <c r="M98" s="106">
        <v>24</v>
      </c>
      <c r="N98" s="106">
        <v>29</v>
      </c>
      <c r="O98" s="106">
        <v>34</v>
      </c>
      <c r="P98" s="106">
        <v>38</v>
      </c>
      <c r="Q98" s="106">
        <v>40</v>
      </c>
      <c r="R98" s="106">
        <v>42</v>
      </c>
      <c r="S98" s="106">
        <v>44</v>
      </c>
      <c r="T98" s="20"/>
      <c r="U98" s="20"/>
      <c r="V98" s="20"/>
      <c r="W98" s="20"/>
      <c r="X98" s="20"/>
      <c r="Y98" s="20"/>
      <c r="Z98" s="20"/>
    </row>
    <row r="99" spans="1:26" x14ac:dyDescent="0.25">
      <c r="A99" s="20"/>
      <c r="B99" s="20"/>
      <c r="C99" s="20"/>
      <c r="D99" s="20"/>
      <c r="E99" s="106"/>
      <c r="F99" s="106"/>
      <c r="G99" s="106"/>
      <c r="H99" s="106"/>
      <c r="I99" s="106"/>
      <c r="J99" s="20"/>
      <c r="K99" s="279">
        <v>15</v>
      </c>
      <c r="L99" s="106">
        <f>L98+1</f>
        <v>16</v>
      </c>
      <c r="M99" s="106">
        <f>M98</f>
        <v>24</v>
      </c>
      <c r="N99" s="106">
        <v>30</v>
      </c>
      <c r="O99" s="106">
        <v>35</v>
      </c>
      <c r="P99" s="106">
        <v>40</v>
      </c>
      <c r="Q99" s="106">
        <v>42</v>
      </c>
      <c r="R99" s="106">
        <v>44</v>
      </c>
      <c r="S99" s="106">
        <v>46</v>
      </c>
      <c r="T99" s="20"/>
      <c r="U99" s="20"/>
      <c r="V99" s="20"/>
      <c r="W99" s="20"/>
      <c r="X99" s="20"/>
      <c r="Y99" s="20"/>
      <c r="Z99" s="20"/>
    </row>
    <row r="100" spans="1:26" x14ac:dyDescent="0.25">
      <c r="A100" s="106"/>
      <c r="B100" s="106"/>
      <c r="C100" s="106"/>
      <c r="D100" s="106"/>
      <c r="E100" s="106"/>
      <c r="F100" s="106"/>
      <c r="G100" s="106"/>
      <c r="H100" s="106"/>
      <c r="I100" s="106"/>
      <c r="J100" s="106"/>
      <c r="K100" s="279">
        <v>16</v>
      </c>
      <c r="L100" s="106">
        <f>L99</f>
        <v>16</v>
      </c>
      <c r="M100" s="106">
        <f>M99+1</f>
        <v>25</v>
      </c>
      <c r="N100" s="106">
        <v>31</v>
      </c>
      <c r="O100" s="106">
        <v>36</v>
      </c>
      <c r="P100" s="106">
        <v>41</v>
      </c>
      <c r="Q100" s="106">
        <v>44</v>
      </c>
      <c r="R100" s="106">
        <v>46</v>
      </c>
      <c r="S100" s="106">
        <v>48</v>
      </c>
      <c r="T100" s="106"/>
      <c r="U100" s="106"/>
      <c r="V100" s="106"/>
      <c r="W100" s="106"/>
      <c r="X100" s="106"/>
      <c r="Y100" s="106"/>
      <c r="Z100" s="106"/>
    </row>
    <row r="101" spans="1:26" x14ac:dyDescent="0.25">
      <c r="A101" s="106"/>
      <c r="B101" s="106"/>
      <c r="C101" s="106"/>
      <c r="D101" s="106"/>
      <c r="E101" s="106"/>
      <c r="F101" s="106"/>
      <c r="G101" s="106"/>
      <c r="H101" s="106"/>
      <c r="I101" s="106"/>
      <c r="J101" s="106"/>
      <c r="K101" s="279">
        <v>17</v>
      </c>
      <c r="L101" s="106">
        <f>L100</f>
        <v>16</v>
      </c>
      <c r="M101" s="106">
        <f>M100</f>
        <v>25</v>
      </c>
      <c r="N101" s="106">
        <v>32</v>
      </c>
      <c r="O101" s="106">
        <v>37</v>
      </c>
      <c r="P101" s="106">
        <v>42</v>
      </c>
      <c r="Q101" s="106">
        <v>46</v>
      </c>
      <c r="R101" s="106">
        <v>48</v>
      </c>
      <c r="S101" s="106">
        <v>50</v>
      </c>
      <c r="T101" s="106"/>
      <c r="U101" s="106"/>
      <c r="V101" s="106"/>
      <c r="W101" s="106"/>
      <c r="X101" s="106"/>
      <c r="Y101" s="106"/>
      <c r="Z101" s="106"/>
    </row>
    <row r="102" spans="1:26" x14ac:dyDescent="0.25">
      <c r="A102" s="106"/>
      <c r="B102" s="106"/>
      <c r="C102" s="106"/>
      <c r="D102" s="106"/>
      <c r="E102" s="106"/>
      <c r="F102" s="106"/>
      <c r="G102" s="106"/>
      <c r="H102" s="106"/>
      <c r="I102" s="106"/>
      <c r="J102" s="106"/>
      <c r="K102" s="279">
        <v>18</v>
      </c>
      <c r="L102" s="106">
        <f>L101</f>
        <v>16</v>
      </c>
      <c r="M102" s="106">
        <f>M101+1</f>
        <v>26</v>
      </c>
      <c r="N102" s="106">
        <v>33</v>
      </c>
      <c r="O102" s="106">
        <v>38</v>
      </c>
      <c r="P102" s="106">
        <v>43</v>
      </c>
      <c r="Q102" s="106">
        <v>48</v>
      </c>
      <c r="R102" s="106">
        <v>50</v>
      </c>
      <c r="S102" s="106">
        <v>52</v>
      </c>
      <c r="T102" s="106"/>
      <c r="U102" s="106"/>
      <c r="V102" s="106"/>
      <c r="W102" s="106"/>
      <c r="X102" s="106"/>
      <c r="Y102" s="106"/>
      <c r="Z102" s="106"/>
    </row>
    <row r="103" spans="1:26" x14ac:dyDescent="0.25">
      <c r="A103" s="106"/>
      <c r="B103" s="106"/>
      <c r="C103" s="106"/>
      <c r="D103" s="106"/>
      <c r="E103" s="106"/>
      <c r="F103" s="106"/>
      <c r="G103" s="106"/>
      <c r="H103" s="106"/>
      <c r="I103" s="106"/>
      <c r="J103" s="106"/>
      <c r="K103" s="279">
        <v>19</v>
      </c>
      <c r="L103" s="106">
        <f>L102+1</f>
        <v>17</v>
      </c>
      <c r="M103" s="106">
        <f>M102</f>
        <v>26</v>
      </c>
      <c r="N103" s="106">
        <v>34</v>
      </c>
      <c r="O103" s="106">
        <v>39</v>
      </c>
      <c r="P103" s="106">
        <v>44</v>
      </c>
      <c r="Q103" s="106">
        <v>49</v>
      </c>
      <c r="R103" s="106">
        <v>52</v>
      </c>
      <c r="S103" s="106">
        <v>54</v>
      </c>
      <c r="T103" s="106"/>
      <c r="U103" s="106"/>
      <c r="V103" s="106"/>
      <c r="W103" s="106"/>
      <c r="X103" s="106"/>
      <c r="Y103" s="106"/>
      <c r="Z103" s="106"/>
    </row>
    <row r="104" spans="1:26" x14ac:dyDescent="0.25">
      <c r="A104" s="106"/>
      <c r="B104" s="106"/>
      <c r="C104" s="106"/>
      <c r="D104" s="106"/>
      <c r="E104" s="106"/>
      <c r="F104" s="106"/>
      <c r="G104" s="106"/>
      <c r="H104" s="106"/>
      <c r="I104" s="106"/>
      <c r="J104" s="106"/>
      <c r="K104" s="279">
        <v>20</v>
      </c>
      <c r="L104" s="106">
        <f>L103</f>
        <v>17</v>
      </c>
      <c r="M104" s="106">
        <f>M103+1</f>
        <v>27</v>
      </c>
      <c r="N104" s="106">
        <v>35</v>
      </c>
      <c r="O104" s="106">
        <v>40</v>
      </c>
      <c r="P104" s="106">
        <v>45</v>
      </c>
      <c r="Q104" s="106">
        <v>50</v>
      </c>
      <c r="R104" s="106">
        <v>54</v>
      </c>
      <c r="S104" s="106">
        <v>56</v>
      </c>
      <c r="T104" s="106"/>
      <c r="U104" s="106"/>
      <c r="V104" s="106"/>
      <c r="W104" s="106"/>
      <c r="X104" s="106"/>
      <c r="Y104" s="106"/>
      <c r="Z104" s="106"/>
    </row>
    <row r="105" spans="1:26" x14ac:dyDescent="0.25">
      <c r="A105" s="106"/>
      <c r="B105" s="106"/>
      <c r="C105" s="106"/>
      <c r="D105" s="106"/>
      <c r="E105" s="106"/>
      <c r="F105" s="106"/>
      <c r="G105" s="106"/>
      <c r="H105" s="106"/>
      <c r="I105" s="106"/>
      <c r="J105" s="106"/>
      <c r="K105" s="279">
        <v>21</v>
      </c>
      <c r="L105" s="106">
        <f>L104</f>
        <v>17</v>
      </c>
      <c r="M105" s="106">
        <f>M104</f>
        <v>27</v>
      </c>
      <c r="N105" s="106">
        <v>36</v>
      </c>
      <c r="O105" s="106">
        <v>41</v>
      </c>
      <c r="P105" s="106">
        <v>46</v>
      </c>
      <c r="Q105" s="106">
        <v>51</v>
      </c>
      <c r="R105" s="106">
        <v>56</v>
      </c>
      <c r="S105" s="106">
        <v>58</v>
      </c>
      <c r="T105" s="106"/>
      <c r="U105" s="106"/>
      <c r="V105" s="106"/>
      <c r="W105" s="106"/>
      <c r="X105" s="106"/>
      <c r="Y105" s="106"/>
      <c r="Z105" s="106"/>
    </row>
    <row r="106" spans="1:26" x14ac:dyDescent="0.25">
      <c r="A106" s="106"/>
      <c r="B106" s="106"/>
      <c r="C106" s="106"/>
      <c r="D106" s="106"/>
      <c r="E106" s="106"/>
      <c r="F106" s="106"/>
      <c r="G106" s="106"/>
      <c r="H106" s="106"/>
      <c r="I106" s="106"/>
      <c r="J106" s="106"/>
      <c r="K106" s="279">
        <v>22</v>
      </c>
      <c r="L106" s="106">
        <f>L105</f>
        <v>17</v>
      </c>
      <c r="M106" s="106">
        <f>M105+1</f>
        <v>28</v>
      </c>
      <c r="N106" s="106">
        <f>N105</f>
        <v>36</v>
      </c>
      <c r="O106" s="106">
        <v>42</v>
      </c>
      <c r="P106" s="106">
        <v>47</v>
      </c>
      <c r="Q106" s="106">
        <v>52</v>
      </c>
      <c r="R106" s="106">
        <v>57</v>
      </c>
      <c r="S106" s="106">
        <v>60</v>
      </c>
      <c r="T106" s="106"/>
      <c r="U106" s="106"/>
      <c r="V106" s="106"/>
      <c r="W106" s="106"/>
      <c r="X106" s="106"/>
      <c r="Y106" s="106"/>
      <c r="Z106" s="106"/>
    </row>
    <row r="107" spans="1:26" x14ac:dyDescent="0.25">
      <c r="A107" s="106"/>
      <c r="B107" s="106"/>
      <c r="C107" s="106"/>
      <c r="D107" s="106"/>
      <c r="E107" s="106"/>
      <c r="F107" s="106"/>
      <c r="G107" s="106"/>
      <c r="H107" s="106"/>
      <c r="I107" s="106"/>
      <c r="J107" s="106"/>
      <c r="K107" s="279">
        <v>23</v>
      </c>
      <c r="L107" s="106">
        <f>L106+1</f>
        <v>18</v>
      </c>
      <c r="M107" s="106">
        <f>M106</f>
        <v>28</v>
      </c>
      <c r="N107" s="106">
        <f>N106+1</f>
        <v>37</v>
      </c>
      <c r="O107" s="106">
        <v>43</v>
      </c>
      <c r="P107" s="106">
        <v>48</v>
      </c>
      <c r="Q107" s="106">
        <v>53</v>
      </c>
      <c r="R107" s="106">
        <v>58</v>
      </c>
      <c r="S107" s="106">
        <v>62</v>
      </c>
      <c r="T107" s="106"/>
      <c r="U107" s="106"/>
      <c r="V107" s="106"/>
      <c r="W107" s="106"/>
      <c r="X107" s="106"/>
      <c r="Y107" s="106"/>
      <c r="Z107" s="106"/>
    </row>
    <row r="108" spans="1:26" x14ac:dyDescent="0.25">
      <c r="A108" s="106"/>
      <c r="B108" s="106"/>
      <c r="C108" s="106"/>
      <c r="D108" s="106"/>
      <c r="E108" s="106"/>
      <c r="F108" s="106"/>
      <c r="G108" s="106"/>
      <c r="H108" s="106"/>
      <c r="I108" s="106"/>
      <c r="J108" s="106"/>
      <c r="K108" s="279">
        <v>24</v>
      </c>
      <c r="L108" s="106">
        <f>L107</f>
        <v>18</v>
      </c>
      <c r="M108" s="106">
        <f>M107+1</f>
        <v>29</v>
      </c>
      <c r="N108" s="106">
        <f>N107</f>
        <v>37</v>
      </c>
      <c r="O108" s="106">
        <v>44</v>
      </c>
      <c r="P108" s="106">
        <v>49</v>
      </c>
      <c r="Q108" s="106">
        <v>54</v>
      </c>
      <c r="R108" s="106">
        <v>59</v>
      </c>
      <c r="S108" s="106">
        <v>64</v>
      </c>
      <c r="T108" s="106"/>
      <c r="U108" s="106"/>
      <c r="V108" s="106"/>
      <c r="W108" s="106"/>
      <c r="X108" s="106"/>
      <c r="Y108" s="106"/>
      <c r="Z108" s="106"/>
    </row>
    <row r="109" spans="1:26" x14ac:dyDescent="0.25">
      <c r="A109" s="106"/>
      <c r="B109" s="106"/>
      <c r="C109" s="106"/>
      <c r="D109" s="106"/>
      <c r="E109" s="106"/>
      <c r="F109" s="106"/>
      <c r="G109" s="106"/>
      <c r="H109" s="106"/>
      <c r="I109" s="106"/>
      <c r="J109" s="106"/>
      <c r="K109" s="279">
        <v>25</v>
      </c>
      <c r="L109" s="106">
        <f>L108</f>
        <v>18</v>
      </c>
      <c r="M109" s="106">
        <f>M108</f>
        <v>29</v>
      </c>
      <c r="N109" s="106">
        <f>N108+1</f>
        <v>38</v>
      </c>
      <c r="O109" s="106">
        <v>45</v>
      </c>
      <c r="P109" s="106">
        <v>50</v>
      </c>
      <c r="Q109" s="106">
        <v>55</v>
      </c>
      <c r="R109" s="106">
        <v>60</v>
      </c>
      <c r="S109" s="106">
        <v>65</v>
      </c>
      <c r="T109" s="106"/>
      <c r="U109" s="106"/>
      <c r="V109" s="106"/>
      <c r="W109" s="106"/>
      <c r="X109" s="106"/>
      <c r="Y109" s="106"/>
      <c r="Z109" s="106"/>
    </row>
    <row r="110" spans="1:26" x14ac:dyDescent="0.25">
      <c r="A110" s="106"/>
      <c r="B110" s="106"/>
      <c r="C110" s="106"/>
      <c r="D110" s="106"/>
      <c r="E110" s="106"/>
      <c r="F110" s="106"/>
      <c r="G110" s="106"/>
      <c r="H110" s="106"/>
      <c r="I110" s="106"/>
      <c r="J110" s="106"/>
      <c r="K110" s="279">
        <v>26</v>
      </c>
      <c r="L110" s="106">
        <f>L109</f>
        <v>18</v>
      </c>
      <c r="M110" s="106">
        <f>M109+1</f>
        <v>30</v>
      </c>
      <c r="N110" s="106">
        <f>N109</f>
        <v>38</v>
      </c>
      <c r="O110" s="106">
        <v>46</v>
      </c>
      <c r="P110" s="106">
        <v>51</v>
      </c>
      <c r="Q110" s="106">
        <v>56</v>
      </c>
      <c r="R110" s="106">
        <v>61</v>
      </c>
      <c r="S110" s="106">
        <v>66</v>
      </c>
      <c r="T110" s="106"/>
      <c r="U110" s="106"/>
      <c r="V110" s="106"/>
      <c r="W110" s="106"/>
      <c r="X110" s="106"/>
      <c r="Y110" s="106"/>
      <c r="Z110" s="106"/>
    </row>
    <row r="111" spans="1:26" x14ac:dyDescent="0.25">
      <c r="A111" s="106"/>
      <c r="B111" s="106"/>
      <c r="C111" s="106"/>
      <c r="D111" s="106"/>
      <c r="E111" s="106"/>
      <c r="F111" s="106"/>
      <c r="G111" s="106"/>
      <c r="H111" s="106"/>
      <c r="I111" s="106"/>
      <c r="J111" s="106"/>
      <c r="K111" s="279">
        <v>27</v>
      </c>
      <c r="L111" s="106">
        <f>L110+1</f>
        <v>19</v>
      </c>
      <c r="M111" s="106">
        <f>M110</f>
        <v>30</v>
      </c>
      <c r="N111" s="106">
        <f>N110+1</f>
        <v>39</v>
      </c>
      <c r="O111" s="106">
        <v>47</v>
      </c>
      <c r="P111" s="106">
        <v>52</v>
      </c>
      <c r="Q111" s="106">
        <v>57</v>
      </c>
      <c r="R111" s="106">
        <v>62</v>
      </c>
      <c r="S111" s="106">
        <v>67</v>
      </c>
      <c r="T111" s="106"/>
      <c r="U111" s="106"/>
      <c r="V111" s="106"/>
      <c r="W111" s="106"/>
      <c r="X111" s="106"/>
      <c r="Y111" s="106"/>
      <c r="Z111" s="106"/>
    </row>
    <row r="112" spans="1:26" x14ac:dyDescent="0.25">
      <c r="A112" s="106"/>
      <c r="B112" s="106"/>
      <c r="C112" s="106"/>
      <c r="D112" s="106"/>
      <c r="E112" s="106"/>
      <c r="F112" s="106"/>
      <c r="G112" s="106"/>
      <c r="H112" s="106"/>
      <c r="I112" s="106"/>
      <c r="J112" s="106"/>
      <c r="K112" s="279">
        <v>28</v>
      </c>
      <c r="L112" s="106">
        <f>L111</f>
        <v>19</v>
      </c>
      <c r="M112" s="106">
        <f>M111+1</f>
        <v>31</v>
      </c>
      <c r="N112" s="106">
        <f>N111</f>
        <v>39</v>
      </c>
      <c r="O112" s="106">
        <v>48</v>
      </c>
      <c r="P112" s="106">
        <v>53</v>
      </c>
      <c r="Q112" s="106">
        <v>58</v>
      </c>
      <c r="R112" s="106">
        <v>63</v>
      </c>
      <c r="S112" s="106">
        <v>68</v>
      </c>
      <c r="T112" s="106"/>
      <c r="U112" s="106"/>
      <c r="V112" s="106"/>
      <c r="W112" s="106"/>
      <c r="X112" s="106"/>
      <c r="Y112" s="106"/>
      <c r="Z112" s="106"/>
    </row>
    <row r="113" spans="1:26" x14ac:dyDescent="0.25">
      <c r="A113" s="106"/>
      <c r="B113" s="106"/>
      <c r="C113" s="106"/>
      <c r="D113" s="106"/>
      <c r="E113" s="106"/>
      <c r="F113" s="106"/>
      <c r="G113" s="106"/>
      <c r="H113" s="106"/>
      <c r="I113" s="106"/>
      <c r="J113" s="106"/>
      <c r="K113" s="279">
        <v>29</v>
      </c>
      <c r="L113" s="106">
        <f>L112</f>
        <v>19</v>
      </c>
      <c r="M113" s="106">
        <f>M112</f>
        <v>31</v>
      </c>
      <c r="N113" s="106">
        <f>N112+1</f>
        <v>40</v>
      </c>
      <c r="O113" s="106">
        <f>O112</f>
        <v>48</v>
      </c>
      <c r="P113" s="106">
        <v>54</v>
      </c>
      <c r="Q113" s="106">
        <v>59</v>
      </c>
      <c r="R113" s="106">
        <v>64</v>
      </c>
      <c r="S113" s="106">
        <v>69</v>
      </c>
      <c r="T113" s="106"/>
      <c r="U113" s="106"/>
      <c r="V113" s="106"/>
      <c r="W113" s="106"/>
      <c r="X113" s="106"/>
      <c r="Y113" s="106"/>
      <c r="Z113" s="106"/>
    </row>
    <row r="114" spans="1:26" x14ac:dyDescent="0.25">
      <c r="A114" s="106"/>
      <c r="B114" s="106"/>
      <c r="C114" s="106"/>
      <c r="D114" s="106"/>
      <c r="E114" s="106"/>
      <c r="F114" s="106"/>
      <c r="G114" s="106"/>
      <c r="H114" s="106"/>
      <c r="I114" s="106"/>
      <c r="J114" s="106"/>
      <c r="K114" s="279">
        <v>30</v>
      </c>
      <c r="L114" s="106">
        <f>L113</f>
        <v>19</v>
      </c>
      <c r="M114" s="106">
        <f>M113+1</f>
        <v>32</v>
      </c>
      <c r="N114" s="106">
        <f>N113</f>
        <v>40</v>
      </c>
      <c r="O114" s="106">
        <f>O113+1</f>
        <v>49</v>
      </c>
      <c r="P114" s="106">
        <v>55</v>
      </c>
      <c r="Q114" s="106">
        <v>60</v>
      </c>
      <c r="R114" s="106">
        <v>65</v>
      </c>
      <c r="S114" s="106">
        <v>70</v>
      </c>
      <c r="T114" s="106"/>
      <c r="U114" s="106"/>
      <c r="V114" s="106"/>
      <c r="W114" s="106"/>
      <c r="X114" s="106"/>
      <c r="Y114" s="106"/>
      <c r="Z114" s="106"/>
    </row>
    <row r="115" spans="1:26" x14ac:dyDescent="0.25">
      <c r="A115" s="106"/>
      <c r="B115" s="106"/>
      <c r="C115" s="106"/>
      <c r="D115" s="106"/>
      <c r="E115" s="106"/>
      <c r="F115" s="106"/>
      <c r="G115" s="106"/>
      <c r="H115" s="106"/>
      <c r="I115" s="106"/>
      <c r="J115" s="106"/>
      <c r="K115" s="279">
        <v>31</v>
      </c>
      <c r="L115" s="106">
        <f>L114+1</f>
        <v>20</v>
      </c>
      <c r="M115" s="106">
        <f>M114</f>
        <v>32</v>
      </c>
      <c r="N115" s="106">
        <f>N114+1</f>
        <v>41</v>
      </c>
      <c r="O115" s="106">
        <f>O114</f>
        <v>49</v>
      </c>
      <c r="P115" s="106">
        <v>56</v>
      </c>
      <c r="Q115" s="106">
        <v>61</v>
      </c>
      <c r="R115" s="106">
        <v>66</v>
      </c>
      <c r="S115" s="106">
        <v>71</v>
      </c>
      <c r="T115" s="106"/>
      <c r="U115" s="106"/>
      <c r="V115" s="106"/>
      <c r="W115" s="106"/>
      <c r="X115" s="106"/>
      <c r="Y115" s="106"/>
      <c r="Z115" s="106"/>
    </row>
    <row r="116" spans="1:26" x14ac:dyDescent="0.25">
      <c r="A116" s="106"/>
      <c r="B116" s="106"/>
      <c r="C116" s="106"/>
      <c r="D116" s="106"/>
      <c r="E116" s="106"/>
      <c r="F116" s="106"/>
      <c r="G116" s="106"/>
      <c r="H116" s="106"/>
      <c r="I116" s="106"/>
      <c r="J116" s="106"/>
      <c r="K116" s="279">
        <v>32</v>
      </c>
      <c r="L116" s="106">
        <f t="shared" ref="L116:L122" si="10">L115</f>
        <v>20</v>
      </c>
      <c r="M116" s="106">
        <f>M115</f>
        <v>32</v>
      </c>
      <c r="N116" s="106">
        <f>N115</f>
        <v>41</v>
      </c>
      <c r="O116" s="106">
        <f>O115+1</f>
        <v>50</v>
      </c>
      <c r="P116" s="106">
        <v>57</v>
      </c>
      <c r="Q116" s="106">
        <v>62</v>
      </c>
      <c r="R116" s="106">
        <v>67</v>
      </c>
      <c r="S116" s="106">
        <v>72</v>
      </c>
      <c r="T116" s="106"/>
      <c r="U116" s="106"/>
      <c r="V116" s="106"/>
      <c r="W116" s="106"/>
      <c r="X116" s="106"/>
      <c r="Y116" s="106"/>
      <c r="Z116" s="106"/>
    </row>
    <row r="117" spans="1:26" x14ac:dyDescent="0.25">
      <c r="A117" s="106"/>
      <c r="B117" s="106"/>
      <c r="C117" s="106"/>
      <c r="D117" s="106"/>
      <c r="E117" s="106"/>
      <c r="F117" s="106"/>
      <c r="G117" s="106"/>
      <c r="H117" s="106"/>
      <c r="I117" s="106"/>
      <c r="J117" s="106"/>
      <c r="K117" s="279">
        <v>33</v>
      </c>
      <c r="L117" s="106">
        <f t="shared" si="10"/>
        <v>20</v>
      </c>
      <c r="M117" s="106">
        <f>M116</f>
        <v>32</v>
      </c>
      <c r="N117" s="106">
        <f>N116+1</f>
        <v>42</v>
      </c>
      <c r="O117" s="106">
        <f>O116</f>
        <v>50</v>
      </c>
      <c r="P117" s="106">
        <v>58</v>
      </c>
      <c r="Q117" s="106">
        <v>63</v>
      </c>
      <c r="R117" s="106">
        <v>68</v>
      </c>
      <c r="S117" s="106">
        <v>73</v>
      </c>
      <c r="T117" s="106"/>
      <c r="U117" s="106"/>
      <c r="V117" s="106"/>
      <c r="W117" s="106"/>
      <c r="X117" s="106"/>
      <c r="Y117" s="106"/>
      <c r="Z117" s="106"/>
    </row>
    <row r="118" spans="1:26" x14ac:dyDescent="0.25">
      <c r="A118" s="106"/>
      <c r="B118" s="106"/>
      <c r="C118" s="106"/>
      <c r="D118" s="106"/>
      <c r="E118" s="106"/>
      <c r="F118" s="106"/>
      <c r="G118" s="106"/>
      <c r="H118" s="106"/>
      <c r="I118" s="106"/>
      <c r="J118" s="106"/>
      <c r="K118" s="279">
        <v>34</v>
      </c>
      <c r="L118" s="106">
        <f t="shared" si="10"/>
        <v>20</v>
      </c>
      <c r="M118" s="106">
        <f>M117+1</f>
        <v>33</v>
      </c>
      <c r="N118" s="106">
        <f>N117</f>
        <v>42</v>
      </c>
      <c r="O118" s="106">
        <f>O117+1</f>
        <v>51</v>
      </c>
      <c r="P118" s="106">
        <v>59</v>
      </c>
      <c r="Q118" s="106">
        <v>64</v>
      </c>
      <c r="R118" s="106">
        <v>69</v>
      </c>
      <c r="S118" s="106">
        <v>74</v>
      </c>
      <c r="T118" s="106"/>
      <c r="U118" s="106"/>
      <c r="V118" s="106"/>
      <c r="W118" s="106"/>
      <c r="X118" s="106"/>
      <c r="Y118" s="106"/>
      <c r="Z118" s="106"/>
    </row>
    <row r="119" spans="1:26" x14ac:dyDescent="0.25">
      <c r="A119" s="106"/>
      <c r="B119" s="106"/>
      <c r="C119" s="106"/>
      <c r="D119" s="106"/>
      <c r="E119" s="106"/>
      <c r="F119" s="106"/>
      <c r="G119" s="106"/>
      <c r="H119" s="106"/>
      <c r="I119" s="106"/>
      <c r="J119" s="106"/>
      <c r="K119" s="279">
        <v>35</v>
      </c>
      <c r="L119" s="106">
        <f t="shared" si="10"/>
        <v>20</v>
      </c>
      <c r="M119" s="106">
        <f>M118</f>
        <v>33</v>
      </c>
      <c r="N119" s="106">
        <f>N118+1</f>
        <v>43</v>
      </c>
      <c r="O119" s="106">
        <f>O118</f>
        <v>51</v>
      </c>
      <c r="P119" s="106">
        <v>60</v>
      </c>
      <c r="Q119" s="106">
        <v>65</v>
      </c>
      <c r="R119" s="106">
        <v>70</v>
      </c>
      <c r="S119" s="106">
        <v>75</v>
      </c>
      <c r="T119" s="106"/>
      <c r="U119" s="106"/>
      <c r="V119" s="106"/>
      <c r="W119" s="106"/>
      <c r="X119" s="106"/>
      <c r="Y119" s="106"/>
      <c r="Z119" s="106"/>
    </row>
    <row r="120" spans="1:26" x14ac:dyDescent="0.25">
      <c r="A120" s="106"/>
      <c r="B120" s="106"/>
      <c r="C120" s="106"/>
      <c r="D120" s="106"/>
      <c r="E120" s="106"/>
      <c r="F120" s="106"/>
      <c r="G120" s="106"/>
      <c r="H120" s="106"/>
      <c r="I120" s="106"/>
      <c r="J120" s="106"/>
      <c r="K120" s="279">
        <v>36</v>
      </c>
      <c r="L120" s="106">
        <f t="shared" si="10"/>
        <v>20</v>
      </c>
      <c r="M120" s="106">
        <f>M119</f>
        <v>33</v>
      </c>
      <c r="N120" s="106">
        <f>N119</f>
        <v>43</v>
      </c>
      <c r="O120" s="106">
        <f>O119+1</f>
        <v>52</v>
      </c>
      <c r="P120" s="106">
        <f>P119</f>
        <v>60</v>
      </c>
      <c r="Q120" s="106">
        <v>66</v>
      </c>
      <c r="R120" s="106">
        <v>71</v>
      </c>
      <c r="S120" s="106">
        <v>76</v>
      </c>
      <c r="T120" s="106"/>
      <c r="U120" s="106"/>
      <c r="V120" s="106"/>
      <c r="W120" s="106"/>
      <c r="X120" s="106"/>
      <c r="Y120" s="106"/>
      <c r="Z120" s="106"/>
    </row>
    <row r="121" spans="1:26" x14ac:dyDescent="0.25">
      <c r="A121" s="106"/>
      <c r="B121" s="106"/>
      <c r="C121" s="106"/>
      <c r="D121" s="106"/>
      <c r="E121" s="106"/>
      <c r="F121" s="106"/>
      <c r="G121" s="106"/>
      <c r="H121" s="106"/>
      <c r="I121" s="106"/>
      <c r="J121" s="106"/>
      <c r="K121" s="279">
        <v>37</v>
      </c>
      <c r="L121" s="106">
        <f t="shared" si="10"/>
        <v>20</v>
      </c>
      <c r="M121" s="106">
        <f>M120</f>
        <v>33</v>
      </c>
      <c r="N121" s="106">
        <f>N120+1</f>
        <v>44</v>
      </c>
      <c r="O121" s="106">
        <f>O120</f>
        <v>52</v>
      </c>
      <c r="P121" s="106">
        <f>P120+1</f>
        <v>61</v>
      </c>
      <c r="Q121" s="106">
        <v>67</v>
      </c>
      <c r="R121" s="106">
        <v>72</v>
      </c>
      <c r="S121" s="106">
        <v>77</v>
      </c>
      <c r="T121" s="106"/>
      <c r="U121" s="106"/>
      <c r="V121" s="106"/>
      <c r="W121" s="106"/>
      <c r="X121" s="106"/>
      <c r="Y121" s="106"/>
      <c r="Z121" s="106"/>
    </row>
    <row r="122" spans="1:26" x14ac:dyDescent="0.25">
      <c r="A122" s="106"/>
      <c r="B122" s="106"/>
      <c r="C122" s="106"/>
      <c r="D122" s="106"/>
      <c r="E122" s="106"/>
      <c r="F122" s="106"/>
      <c r="G122" s="106"/>
      <c r="H122" s="106"/>
      <c r="I122" s="106"/>
      <c r="J122" s="106"/>
      <c r="K122" s="279">
        <v>38</v>
      </c>
      <c r="L122" s="106">
        <f t="shared" si="10"/>
        <v>20</v>
      </c>
      <c r="M122" s="106">
        <f>M121+1</f>
        <v>34</v>
      </c>
      <c r="N122" s="106">
        <f>N121</f>
        <v>44</v>
      </c>
      <c r="O122" s="106">
        <f>O121+1</f>
        <v>53</v>
      </c>
      <c r="P122" s="106">
        <f>P121</f>
        <v>61</v>
      </c>
      <c r="Q122" s="106">
        <v>68</v>
      </c>
      <c r="R122" s="106">
        <v>73</v>
      </c>
      <c r="S122" s="106">
        <v>78</v>
      </c>
      <c r="T122" s="106"/>
      <c r="U122" s="106"/>
      <c r="V122" s="106"/>
      <c r="W122" s="106"/>
      <c r="X122" s="106"/>
      <c r="Y122" s="106"/>
      <c r="Z122" s="106"/>
    </row>
    <row r="123" spans="1:26" x14ac:dyDescent="0.25">
      <c r="A123" s="106"/>
      <c r="B123" s="106"/>
      <c r="C123" s="106"/>
      <c r="D123" s="106"/>
      <c r="E123" s="106"/>
      <c r="F123" s="106"/>
      <c r="G123" s="106"/>
      <c r="H123" s="106"/>
      <c r="I123" s="106"/>
      <c r="J123" s="106"/>
      <c r="K123" s="279">
        <v>39</v>
      </c>
      <c r="L123" s="106">
        <f>L122+1</f>
        <v>21</v>
      </c>
      <c r="M123" s="106">
        <f>M122</f>
        <v>34</v>
      </c>
      <c r="N123" s="106">
        <f>N122+1</f>
        <v>45</v>
      </c>
      <c r="O123" s="106">
        <f>O122</f>
        <v>53</v>
      </c>
      <c r="P123" s="106">
        <f>P122+1</f>
        <v>62</v>
      </c>
      <c r="Q123" s="106">
        <v>69</v>
      </c>
      <c r="R123" s="106">
        <v>74</v>
      </c>
      <c r="S123" s="106">
        <v>79</v>
      </c>
      <c r="T123" s="106"/>
      <c r="U123" s="106"/>
      <c r="V123" s="106"/>
      <c r="W123" s="106"/>
      <c r="X123" s="106"/>
      <c r="Y123" s="106"/>
      <c r="Z123" s="106"/>
    </row>
    <row r="124" spans="1:26" x14ac:dyDescent="0.25">
      <c r="A124" s="106"/>
      <c r="B124" s="106"/>
      <c r="C124" s="106"/>
      <c r="D124" s="106"/>
      <c r="E124" s="106"/>
      <c r="F124" s="106"/>
      <c r="G124" s="106"/>
      <c r="H124" s="106"/>
      <c r="I124" s="106"/>
      <c r="J124" s="106"/>
      <c r="K124" s="279">
        <v>40</v>
      </c>
      <c r="L124" s="106">
        <f t="shared" ref="L124:L130" si="11">L123</f>
        <v>21</v>
      </c>
      <c r="M124" s="106">
        <f>M123</f>
        <v>34</v>
      </c>
      <c r="N124" s="106">
        <f>N123</f>
        <v>45</v>
      </c>
      <c r="O124" s="106">
        <f>O123+1</f>
        <v>54</v>
      </c>
      <c r="P124" s="106">
        <f>P123</f>
        <v>62</v>
      </c>
      <c r="Q124" s="106">
        <v>70</v>
      </c>
      <c r="R124" s="106">
        <v>75</v>
      </c>
      <c r="S124" s="106">
        <v>80</v>
      </c>
      <c r="T124" s="106"/>
      <c r="U124" s="106"/>
      <c r="V124" s="106"/>
      <c r="W124" s="106"/>
      <c r="X124" s="106"/>
      <c r="Y124" s="106"/>
      <c r="Z124" s="106"/>
    </row>
    <row r="125" spans="1:26" x14ac:dyDescent="0.25">
      <c r="A125" s="106"/>
      <c r="B125" s="106"/>
      <c r="C125" s="106"/>
      <c r="D125" s="106"/>
      <c r="E125" s="106"/>
      <c r="F125" s="106"/>
      <c r="G125" s="106"/>
      <c r="H125" s="106"/>
      <c r="I125" s="106"/>
      <c r="J125" s="106"/>
      <c r="K125" s="279">
        <v>41</v>
      </c>
      <c r="L125" s="106">
        <f t="shared" si="11"/>
        <v>21</v>
      </c>
      <c r="M125" s="106">
        <f>M124</f>
        <v>34</v>
      </c>
      <c r="N125" s="106">
        <f>N124+1</f>
        <v>46</v>
      </c>
      <c r="O125" s="106">
        <f>O124</f>
        <v>54</v>
      </c>
      <c r="P125" s="106">
        <f>P124+1</f>
        <v>63</v>
      </c>
      <c r="Q125" s="106">
        <v>71</v>
      </c>
      <c r="R125" s="106">
        <v>76</v>
      </c>
      <c r="S125" s="106">
        <v>81</v>
      </c>
      <c r="T125" s="106"/>
      <c r="U125" s="106"/>
      <c r="V125" s="106"/>
      <c r="W125" s="106"/>
      <c r="X125" s="106"/>
      <c r="Y125" s="106"/>
      <c r="Z125" s="106"/>
    </row>
    <row r="126" spans="1:26" x14ac:dyDescent="0.25">
      <c r="A126" s="106"/>
      <c r="B126" s="106"/>
      <c r="C126" s="106"/>
      <c r="D126" s="106"/>
      <c r="E126" s="106"/>
      <c r="F126" s="106"/>
      <c r="G126" s="106"/>
      <c r="H126" s="106"/>
      <c r="I126" s="106"/>
      <c r="J126" s="106"/>
      <c r="K126" s="279">
        <v>42</v>
      </c>
      <c r="L126" s="106">
        <f t="shared" si="11"/>
        <v>21</v>
      </c>
      <c r="M126" s="106">
        <f>M125+1</f>
        <v>35</v>
      </c>
      <c r="N126" s="106">
        <f>N125</f>
        <v>46</v>
      </c>
      <c r="O126" s="106">
        <f>O125+1</f>
        <v>55</v>
      </c>
      <c r="P126" s="106">
        <f>P125</f>
        <v>63</v>
      </c>
      <c r="Q126" s="106">
        <v>72</v>
      </c>
      <c r="R126" s="106">
        <v>77</v>
      </c>
      <c r="S126" s="106">
        <v>82</v>
      </c>
      <c r="T126" s="106"/>
      <c r="U126" s="106"/>
      <c r="V126" s="106"/>
      <c r="W126" s="106"/>
      <c r="X126" s="106"/>
      <c r="Y126" s="106"/>
      <c r="Z126" s="106"/>
    </row>
    <row r="127" spans="1:26" x14ac:dyDescent="0.25">
      <c r="A127" s="106"/>
      <c r="B127" s="106"/>
      <c r="C127" s="106"/>
      <c r="D127" s="106"/>
      <c r="E127" s="106"/>
      <c r="F127" s="106"/>
      <c r="G127" s="106"/>
      <c r="H127" s="106"/>
      <c r="I127" s="106"/>
      <c r="J127" s="106"/>
      <c r="K127" s="279">
        <v>43</v>
      </c>
      <c r="L127" s="106">
        <f t="shared" si="11"/>
        <v>21</v>
      </c>
      <c r="M127" s="106">
        <f>M126</f>
        <v>35</v>
      </c>
      <c r="N127" s="106">
        <f>N126+1</f>
        <v>47</v>
      </c>
      <c r="O127" s="106">
        <f>O126</f>
        <v>55</v>
      </c>
      <c r="P127" s="106">
        <f>P126+1</f>
        <v>64</v>
      </c>
      <c r="Q127" s="106">
        <f>Q126</f>
        <v>72</v>
      </c>
      <c r="R127" s="106">
        <v>78</v>
      </c>
      <c r="S127" s="106">
        <v>83</v>
      </c>
      <c r="T127" s="106"/>
      <c r="U127" s="106"/>
      <c r="V127" s="106"/>
      <c r="W127" s="106"/>
      <c r="X127" s="106"/>
      <c r="Y127" s="106"/>
      <c r="Z127" s="106"/>
    </row>
    <row r="128" spans="1:26" x14ac:dyDescent="0.25">
      <c r="A128" s="106"/>
      <c r="B128" s="106"/>
      <c r="C128" s="106"/>
      <c r="D128" s="106"/>
      <c r="E128" s="106"/>
      <c r="F128" s="106"/>
      <c r="G128" s="106"/>
      <c r="H128" s="106"/>
      <c r="I128" s="106"/>
      <c r="J128" s="106"/>
      <c r="K128" s="279">
        <v>44</v>
      </c>
      <c r="L128" s="106">
        <f t="shared" si="11"/>
        <v>21</v>
      </c>
      <c r="M128" s="106">
        <f>M127</f>
        <v>35</v>
      </c>
      <c r="N128" s="106">
        <f>N127</f>
        <v>47</v>
      </c>
      <c r="O128" s="106">
        <f>O127+1</f>
        <v>56</v>
      </c>
      <c r="P128" s="106">
        <f>P127</f>
        <v>64</v>
      </c>
      <c r="Q128" s="106">
        <f>Q127+1</f>
        <v>73</v>
      </c>
      <c r="R128" s="106">
        <v>79</v>
      </c>
      <c r="S128" s="106">
        <v>84</v>
      </c>
      <c r="T128" s="106"/>
      <c r="U128" s="106"/>
      <c r="V128" s="106"/>
      <c r="W128" s="106"/>
      <c r="X128" s="106"/>
      <c r="Y128" s="106"/>
      <c r="Z128" s="106"/>
    </row>
    <row r="129" spans="1:26" x14ac:dyDescent="0.25">
      <c r="A129" s="106"/>
      <c r="B129" s="106"/>
      <c r="C129" s="106"/>
      <c r="D129" s="106"/>
      <c r="E129" s="106"/>
      <c r="F129" s="106"/>
      <c r="G129" s="106"/>
      <c r="H129" s="106"/>
      <c r="I129" s="106"/>
      <c r="J129" s="106"/>
      <c r="K129" s="279">
        <v>45</v>
      </c>
      <c r="L129" s="106">
        <f t="shared" si="11"/>
        <v>21</v>
      </c>
      <c r="M129" s="106">
        <f>M128</f>
        <v>35</v>
      </c>
      <c r="N129" s="106">
        <f>N128+1</f>
        <v>48</v>
      </c>
      <c r="O129" s="106">
        <f>O128</f>
        <v>56</v>
      </c>
      <c r="P129" s="106">
        <f>P128+1</f>
        <v>65</v>
      </c>
      <c r="Q129" s="106">
        <f>Q128</f>
        <v>73</v>
      </c>
      <c r="R129" s="106">
        <v>80</v>
      </c>
      <c r="S129" s="106">
        <v>85</v>
      </c>
      <c r="T129" s="106"/>
      <c r="U129" s="106"/>
      <c r="V129" s="106"/>
      <c r="W129" s="106"/>
      <c r="X129" s="106"/>
      <c r="Y129" s="106"/>
      <c r="Z129" s="106"/>
    </row>
    <row r="130" spans="1:26" x14ac:dyDescent="0.25">
      <c r="A130" s="106"/>
      <c r="B130" s="106"/>
      <c r="C130" s="106"/>
      <c r="D130" s="106"/>
      <c r="E130" s="106"/>
      <c r="F130" s="106"/>
      <c r="G130" s="106"/>
      <c r="H130" s="106"/>
      <c r="I130" s="106"/>
      <c r="J130" s="106"/>
      <c r="K130" s="279">
        <v>46</v>
      </c>
      <c r="L130" s="106">
        <f t="shared" si="11"/>
        <v>21</v>
      </c>
      <c r="M130" s="106">
        <f>M129+1</f>
        <v>36</v>
      </c>
      <c r="N130" s="106">
        <f>N129</f>
        <v>48</v>
      </c>
      <c r="O130" s="106">
        <f>O129+1</f>
        <v>57</v>
      </c>
      <c r="P130" s="106">
        <f>P129</f>
        <v>65</v>
      </c>
      <c r="Q130" s="106">
        <f>Q129+1</f>
        <v>74</v>
      </c>
      <c r="R130" s="106">
        <v>81</v>
      </c>
      <c r="S130" s="106">
        <v>86</v>
      </c>
      <c r="T130" s="106"/>
      <c r="U130" s="106"/>
      <c r="V130" s="106"/>
      <c r="W130" s="106"/>
      <c r="X130" s="106"/>
      <c r="Y130" s="106"/>
      <c r="Z130" s="106"/>
    </row>
    <row r="131" spans="1:26" x14ac:dyDescent="0.25">
      <c r="A131" s="106"/>
      <c r="B131" s="106"/>
      <c r="C131" s="106"/>
      <c r="D131" s="106"/>
      <c r="E131" s="106"/>
      <c r="F131" s="106"/>
      <c r="G131" s="106"/>
      <c r="H131" s="106"/>
      <c r="I131" s="106"/>
      <c r="J131" s="106"/>
      <c r="K131" s="279">
        <v>47</v>
      </c>
      <c r="L131" s="106">
        <f>L130+1</f>
        <v>22</v>
      </c>
      <c r="M131" s="106">
        <f>M130</f>
        <v>36</v>
      </c>
      <c r="N131" s="106">
        <f>N130</f>
        <v>48</v>
      </c>
      <c r="O131" s="106">
        <f>O130</f>
        <v>57</v>
      </c>
      <c r="P131" s="106">
        <f>P130+1</f>
        <v>66</v>
      </c>
      <c r="Q131" s="106">
        <f>Q130</f>
        <v>74</v>
      </c>
      <c r="R131" s="106">
        <v>82</v>
      </c>
      <c r="S131" s="106">
        <v>87</v>
      </c>
      <c r="T131" s="106"/>
      <c r="U131" s="106"/>
      <c r="V131" s="106"/>
      <c r="W131" s="106"/>
      <c r="X131" s="106"/>
      <c r="Y131" s="106"/>
      <c r="Z131" s="106"/>
    </row>
    <row r="132" spans="1:26" x14ac:dyDescent="0.25">
      <c r="A132" s="106"/>
      <c r="B132" s="106"/>
      <c r="C132" s="106"/>
      <c r="D132" s="106"/>
      <c r="E132" s="106"/>
      <c r="F132" s="106"/>
      <c r="G132" s="106"/>
      <c r="H132" s="106"/>
      <c r="I132" s="106"/>
      <c r="J132" s="106"/>
      <c r="K132" s="279">
        <v>48</v>
      </c>
      <c r="L132" s="106">
        <f t="shared" ref="L132:L138" si="12">L131</f>
        <v>22</v>
      </c>
      <c r="M132" s="106">
        <f>M131</f>
        <v>36</v>
      </c>
      <c r="N132" s="106">
        <f>N131</f>
        <v>48</v>
      </c>
      <c r="O132" s="106">
        <f>O131+1</f>
        <v>58</v>
      </c>
      <c r="P132" s="106">
        <f>P131</f>
        <v>66</v>
      </c>
      <c r="Q132" s="106">
        <f>Q131+1</f>
        <v>75</v>
      </c>
      <c r="R132" s="106">
        <v>83</v>
      </c>
      <c r="S132" s="106">
        <v>88</v>
      </c>
      <c r="T132" s="106"/>
      <c r="U132" s="106"/>
      <c r="V132" s="106"/>
      <c r="W132" s="106"/>
      <c r="X132" s="106"/>
      <c r="Y132" s="106"/>
      <c r="Z132" s="106"/>
    </row>
    <row r="133" spans="1:26" x14ac:dyDescent="0.25">
      <c r="A133" s="106"/>
      <c r="B133" s="106"/>
      <c r="C133" s="106"/>
      <c r="D133" s="106"/>
      <c r="E133" s="106"/>
      <c r="F133" s="106"/>
      <c r="G133" s="106"/>
      <c r="H133" s="106"/>
      <c r="I133" s="106"/>
      <c r="J133" s="106"/>
      <c r="K133" s="279">
        <v>49</v>
      </c>
      <c r="L133" s="106">
        <f t="shared" si="12"/>
        <v>22</v>
      </c>
      <c r="M133" s="106">
        <f>M132</f>
        <v>36</v>
      </c>
      <c r="N133" s="106">
        <f>N132+1</f>
        <v>49</v>
      </c>
      <c r="O133" s="106">
        <f>O132</f>
        <v>58</v>
      </c>
      <c r="P133" s="106">
        <f>P132+1</f>
        <v>67</v>
      </c>
      <c r="Q133" s="106">
        <f>Q132</f>
        <v>75</v>
      </c>
      <c r="R133" s="106">
        <v>84</v>
      </c>
      <c r="S133" s="106">
        <v>89</v>
      </c>
      <c r="T133" s="106"/>
      <c r="U133" s="106"/>
      <c r="V133" s="106"/>
      <c r="W133" s="106"/>
      <c r="X133" s="106"/>
      <c r="Y133" s="106"/>
      <c r="Z133" s="106"/>
    </row>
    <row r="134" spans="1:26" x14ac:dyDescent="0.25">
      <c r="A134" s="106"/>
      <c r="B134" s="106"/>
      <c r="C134" s="106"/>
      <c r="D134" s="106"/>
      <c r="E134" s="106"/>
      <c r="F134" s="106"/>
      <c r="G134" s="106"/>
      <c r="H134" s="106"/>
      <c r="I134" s="106"/>
      <c r="J134" s="106"/>
      <c r="K134" s="279">
        <v>50</v>
      </c>
      <c r="L134" s="106">
        <f t="shared" si="12"/>
        <v>22</v>
      </c>
      <c r="M134" s="106">
        <f>M133+1</f>
        <v>37</v>
      </c>
      <c r="N134" s="106">
        <f>N133</f>
        <v>49</v>
      </c>
      <c r="O134" s="106">
        <f>O133+1</f>
        <v>59</v>
      </c>
      <c r="P134" s="106">
        <f>P133</f>
        <v>67</v>
      </c>
      <c r="Q134" s="106">
        <f>Q133+1</f>
        <v>76</v>
      </c>
      <c r="R134" s="106">
        <f>R133</f>
        <v>84</v>
      </c>
      <c r="S134" s="106">
        <v>90</v>
      </c>
      <c r="T134" s="106"/>
      <c r="U134" s="106"/>
      <c r="V134" s="106"/>
      <c r="W134" s="106"/>
      <c r="X134" s="106"/>
      <c r="Y134" s="106"/>
      <c r="Z134" s="106"/>
    </row>
    <row r="135" spans="1:26" x14ac:dyDescent="0.25">
      <c r="A135" s="106"/>
      <c r="B135" s="106"/>
      <c r="C135" s="106"/>
      <c r="D135" s="106"/>
      <c r="E135" s="106"/>
      <c r="F135" s="106"/>
      <c r="G135" s="106"/>
      <c r="H135" s="106"/>
      <c r="I135" s="106"/>
      <c r="J135" s="106"/>
      <c r="K135" s="279">
        <v>51</v>
      </c>
      <c r="L135" s="106">
        <f t="shared" si="12"/>
        <v>22</v>
      </c>
      <c r="M135" s="106">
        <f>M134</f>
        <v>37</v>
      </c>
      <c r="N135" s="106">
        <f>N134</f>
        <v>49</v>
      </c>
      <c r="O135" s="106">
        <f>O134</f>
        <v>59</v>
      </c>
      <c r="P135" s="106">
        <f>P134+1</f>
        <v>68</v>
      </c>
      <c r="Q135" s="106">
        <f>Q134</f>
        <v>76</v>
      </c>
      <c r="R135" s="106">
        <f>R134+1</f>
        <v>85</v>
      </c>
      <c r="S135" s="106">
        <v>91</v>
      </c>
      <c r="T135" s="106"/>
      <c r="U135" s="106"/>
      <c r="V135" s="106"/>
      <c r="W135" s="106"/>
      <c r="X135" s="106"/>
      <c r="Y135" s="106"/>
      <c r="Z135" s="106"/>
    </row>
    <row r="136" spans="1:26" x14ac:dyDescent="0.25">
      <c r="A136" s="106"/>
      <c r="B136" s="106"/>
      <c r="C136" s="106"/>
      <c r="D136" s="106"/>
      <c r="E136" s="106"/>
      <c r="F136" s="106"/>
      <c r="G136" s="106"/>
      <c r="H136" s="106"/>
      <c r="I136" s="106"/>
      <c r="J136" s="106"/>
      <c r="K136" s="279">
        <v>52</v>
      </c>
      <c r="L136" s="106">
        <f t="shared" si="12"/>
        <v>22</v>
      </c>
      <c r="M136" s="106">
        <f>M135</f>
        <v>37</v>
      </c>
      <c r="N136" s="106">
        <f>N135</f>
        <v>49</v>
      </c>
      <c r="O136" s="106">
        <f>O135+1</f>
        <v>60</v>
      </c>
      <c r="P136" s="106">
        <f>P135</f>
        <v>68</v>
      </c>
      <c r="Q136" s="106">
        <f>Q135+1</f>
        <v>77</v>
      </c>
      <c r="R136" s="106">
        <f>R135</f>
        <v>85</v>
      </c>
      <c r="S136" s="106">
        <v>92</v>
      </c>
      <c r="T136" s="106"/>
      <c r="U136" s="106"/>
      <c r="V136" s="106"/>
      <c r="W136" s="106"/>
      <c r="X136" s="106"/>
      <c r="Y136" s="106"/>
      <c r="Z136" s="106"/>
    </row>
    <row r="137" spans="1:26" x14ac:dyDescent="0.25">
      <c r="A137" s="106"/>
      <c r="B137" s="106"/>
      <c r="C137" s="106"/>
      <c r="D137" s="106"/>
      <c r="E137" s="106"/>
      <c r="F137" s="106"/>
      <c r="G137" s="106"/>
      <c r="H137" s="106"/>
      <c r="I137" s="106"/>
      <c r="J137" s="106"/>
      <c r="K137" s="279">
        <v>53</v>
      </c>
      <c r="L137" s="106">
        <f t="shared" si="12"/>
        <v>22</v>
      </c>
      <c r="M137" s="106">
        <f>M136</f>
        <v>37</v>
      </c>
      <c r="N137" s="106">
        <f>N136+1</f>
        <v>50</v>
      </c>
      <c r="O137" s="106">
        <f>O136</f>
        <v>60</v>
      </c>
      <c r="P137" s="106">
        <f>P136+1</f>
        <v>69</v>
      </c>
      <c r="Q137" s="106">
        <f>Q136</f>
        <v>77</v>
      </c>
      <c r="R137" s="106">
        <f>R136+1</f>
        <v>86</v>
      </c>
      <c r="S137" s="106">
        <v>93</v>
      </c>
      <c r="T137" s="106"/>
      <c r="U137" s="106"/>
      <c r="V137" s="106"/>
      <c r="W137" s="106"/>
      <c r="X137" s="106"/>
      <c r="Y137" s="106"/>
      <c r="Z137" s="106"/>
    </row>
    <row r="138" spans="1:26" x14ac:dyDescent="0.25">
      <c r="A138" s="106"/>
      <c r="B138" s="106"/>
      <c r="C138" s="106"/>
      <c r="D138" s="106"/>
      <c r="E138" s="106"/>
      <c r="F138" s="106"/>
      <c r="G138" s="106"/>
      <c r="H138" s="106"/>
      <c r="I138" s="106"/>
      <c r="J138" s="106"/>
      <c r="K138" s="279">
        <v>54</v>
      </c>
      <c r="L138" s="106">
        <f t="shared" si="12"/>
        <v>22</v>
      </c>
      <c r="M138" s="106">
        <f>M137+1</f>
        <v>38</v>
      </c>
      <c r="N138" s="106">
        <f>N137</f>
        <v>50</v>
      </c>
      <c r="O138" s="106">
        <f>O137+1</f>
        <v>61</v>
      </c>
      <c r="P138" s="106">
        <f>P137</f>
        <v>69</v>
      </c>
      <c r="Q138" s="106">
        <f>Q137+1</f>
        <v>78</v>
      </c>
      <c r="R138" s="106">
        <f>R137</f>
        <v>86</v>
      </c>
      <c r="S138" s="106">
        <v>94</v>
      </c>
      <c r="T138" s="106"/>
      <c r="U138" s="106"/>
      <c r="V138" s="106"/>
      <c r="W138" s="106"/>
      <c r="X138" s="106"/>
      <c r="Y138" s="106"/>
      <c r="Z138" s="106"/>
    </row>
    <row r="139" spans="1:26" x14ac:dyDescent="0.25">
      <c r="A139" s="106"/>
      <c r="B139" s="106"/>
      <c r="C139" s="106"/>
      <c r="D139" s="106"/>
      <c r="E139" s="106"/>
      <c r="F139" s="106"/>
      <c r="G139" s="106"/>
      <c r="H139" s="106"/>
      <c r="I139" s="106"/>
      <c r="J139" s="106"/>
      <c r="K139" s="279">
        <v>55</v>
      </c>
      <c r="L139" s="106">
        <f>L138+1</f>
        <v>23</v>
      </c>
      <c r="M139" s="106">
        <f>M138</f>
        <v>38</v>
      </c>
      <c r="N139" s="106">
        <f>N138</f>
        <v>50</v>
      </c>
      <c r="O139" s="106">
        <f>O138</f>
        <v>61</v>
      </c>
      <c r="P139" s="106">
        <f>P138+1</f>
        <v>70</v>
      </c>
      <c r="Q139" s="106">
        <f>Q138</f>
        <v>78</v>
      </c>
      <c r="R139" s="106">
        <f>R138+1</f>
        <v>87</v>
      </c>
      <c r="S139" s="106">
        <v>95</v>
      </c>
      <c r="T139" s="106"/>
      <c r="U139" s="106"/>
      <c r="V139" s="106"/>
      <c r="W139" s="106"/>
      <c r="X139" s="106"/>
      <c r="Y139" s="106"/>
      <c r="Z139" s="106"/>
    </row>
    <row r="140" spans="1:26" x14ac:dyDescent="0.25">
      <c r="A140" s="106"/>
      <c r="B140" s="106"/>
      <c r="C140" s="106"/>
      <c r="D140" s="106"/>
      <c r="E140" s="106"/>
      <c r="F140" s="106"/>
      <c r="G140" s="106"/>
      <c r="H140" s="106"/>
      <c r="I140" s="106"/>
      <c r="J140" s="106"/>
      <c r="K140" s="279">
        <v>56</v>
      </c>
      <c r="L140" s="106">
        <f t="shared" ref="L140:L146" si="13">L139</f>
        <v>23</v>
      </c>
      <c r="M140" s="106">
        <f>M139</f>
        <v>38</v>
      </c>
      <c r="N140" s="106">
        <f>N139</f>
        <v>50</v>
      </c>
      <c r="O140" s="106">
        <f>O139+1</f>
        <v>62</v>
      </c>
      <c r="P140" s="106">
        <f>P139</f>
        <v>70</v>
      </c>
      <c r="Q140" s="106">
        <f>Q139+1</f>
        <v>79</v>
      </c>
      <c r="R140" s="106">
        <f>R139</f>
        <v>87</v>
      </c>
      <c r="S140" s="106">
        <v>96</v>
      </c>
      <c r="T140" s="106"/>
      <c r="U140" s="106"/>
      <c r="V140" s="106"/>
      <c r="W140" s="106"/>
      <c r="X140" s="106"/>
      <c r="Y140" s="106"/>
      <c r="Z140" s="106"/>
    </row>
    <row r="141" spans="1:26" x14ac:dyDescent="0.25">
      <c r="A141" s="106"/>
      <c r="B141" s="106"/>
      <c r="C141" s="106"/>
      <c r="D141" s="106"/>
      <c r="E141" s="106"/>
      <c r="F141" s="106"/>
      <c r="G141" s="106"/>
      <c r="H141" s="106"/>
      <c r="I141" s="106"/>
      <c r="J141" s="106"/>
      <c r="K141" s="279">
        <v>57</v>
      </c>
      <c r="L141" s="106">
        <f t="shared" si="13"/>
        <v>23</v>
      </c>
      <c r="M141" s="106">
        <f>M140</f>
        <v>38</v>
      </c>
      <c r="N141" s="106">
        <f>N140+1</f>
        <v>51</v>
      </c>
      <c r="O141" s="106">
        <f>O140</f>
        <v>62</v>
      </c>
      <c r="P141" s="106">
        <f>P140+1</f>
        <v>71</v>
      </c>
      <c r="Q141" s="106">
        <f>Q140</f>
        <v>79</v>
      </c>
      <c r="R141" s="106">
        <f>R140+1</f>
        <v>88</v>
      </c>
      <c r="S141" s="106">
        <f>S140</f>
        <v>96</v>
      </c>
      <c r="T141" s="106"/>
      <c r="U141" s="106"/>
      <c r="V141" s="106"/>
      <c r="W141" s="106"/>
      <c r="X141" s="106"/>
      <c r="Y141" s="106"/>
      <c r="Z141" s="106"/>
    </row>
    <row r="142" spans="1:26" x14ac:dyDescent="0.25">
      <c r="A142" s="106"/>
      <c r="B142" s="106"/>
      <c r="C142" s="106"/>
      <c r="D142" s="106"/>
      <c r="E142" s="106"/>
      <c r="F142" s="106"/>
      <c r="G142" s="106"/>
      <c r="H142" s="106"/>
      <c r="I142" s="106"/>
      <c r="J142" s="106"/>
      <c r="K142" s="279">
        <v>58</v>
      </c>
      <c r="L142" s="106">
        <f t="shared" si="13"/>
        <v>23</v>
      </c>
      <c r="M142" s="106">
        <f>M141+1</f>
        <v>39</v>
      </c>
      <c r="N142" s="106">
        <f>N141</f>
        <v>51</v>
      </c>
      <c r="O142" s="106">
        <f>O141+1</f>
        <v>63</v>
      </c>
      <c r="P142" s="106">
        <f>P141</f>
        <v>71</v>
      </c>
      <c r="Q142" s="106">
        <f>Q141+1</f>
        <v>80</v>
      </c>
      <c r="R142" s="106">
        <f>R141</f>
        <v>88</v>
      </c>
      <c r="S142" s="106">
        <f>S141+1</f>
        <v>97</v>
      </c>
      <c r="T142" s="106"/>
      <c r="U142" s="106"/>
      <c r="V142" s="106"/>
      <c r="W142" s="106"/>
      <c r="X142" s="106"/>
      <c r="Y142" s="106"/>
      <c r="Z142" s="106"/>
    </row>
    <row r="143" spans="1:26" x14ac:dyDescent="0.25">
      <c r="A143" s="106"/>
      <c r="B143" s="106"/>
      <c r="C143" s="106"/>
      <c r="D143" s="106"/>
      <c r="E143" s="106"/>
      <c r="F143" s="106"/>
      <c r="G143" s="106"/>
      <c r="H143" s="106"/>
      <c r="I143" s="106"/>
      <c r="J143" s="106"/>
      <c r="K143" s="279">
        <v>59</v>
      </c>
      <c r="L143" s="106">
        <f t="shared" si="13"/>
        <v>23</v>
      </c>
      <c r="M143" s="106">
        <f>M142</f>
        <v>39</v>
      </c>
      <c r="N143" s="106">
        <f>N142</f>
        <v>51</v>
      </c>
      <c r="O143" s="106">
        <f>O142</f>
        <v>63</v>
      </c>
      <c r="P143" s="106">
        <f>P142+1</f>
        <v>72</v>
      </c>
      <c r="Q143" s="106">
        <f>Q142</f>
        <v>80</v>
      </c>
      <c r="R143" s="106">
        <f>R142+1</f>
        <v>89</v>
      </c>
      <c r="S143" s="106">
        <f>S142</f>
        <v>97</v>
      </c>
      <c r="T143" s="106"/>
      <c r="U143" s="106"/>
      <c r="V143" s="106"/>
      <c r="W143" s="106"/>
      <c r="X143" s="106"/>
      <c r="Y143" s="106"/>
      <c r="Z143" s="106"/>
    </row>
    <row r="144" spans="1:26" x14ac:dyDescent="0.25">
      <c r="A144" s="106"/>
      <c r="B144" s="106"/>
      <c r="C144" s="106"/>
      <c r="D144" s="106"/>
      <c r="E144" s="106"/>
      <c r="F144" s="106"/>
      <c r="G144" s="106"/>
      <c r="H144" s="106"/>
      <c r="I144" s="106"/>
      <c r="J144" s="106"/>
      <c r="K144" s="279">
        <v>60</v>
      </c>
      <c r="L144" s="106">
        <f t="shared" si="13"/>
        <v>23</v>
      </c>
      <c r="M144" s="106">
        <f>M143</f>
        <v>39</v>
      </c>
      <c r="N144" s="106">
        <f>N143</f>
        <v>51</v>
      </c>
      <c r="O144" s="106">
        <f>O143+1</f>
        <v>64</v>
      </c>
      <c r="P144" s="106">
        <f>P143</f>
        <v>72</v>
      </c>
      <c r="Q144" s="106">
        <f>Q143+1</f>
        <v>81</v>
      </c>
      <c r="R144" s="106">
        <f>R143</f>
        <v>89</v>
      </c>
      <c r="S144" s="106">
        <f>S143+1</f>
        <v>98</v>
      </c>
      <c r="T144" s="106"/>
      <c r="U144" s="106"/>
      <c r="V144" s="106"/>
      <c r="W144" s="106"/>
      <c r="X144" s="106"/>
      <c r="Y144" s="106"/>
      <c r="Z144" s="106"/>
    </row>
    <row r="145" spans="1:26" x14ac:dyDescent="0.25">
      <c r="A145" s="106"/>
      <c r="B145" s="106"/>
      <c r="C145" s="106"/>
      <c r="D145" s="106"/>
      <c r="E145" s="106"/>
      <c r="F145" s="106"/>
      <c r="G145" s="106"/>
      <c r="H145" s="106"/>
      <c r="I145" s="106"/>
      <c r="J145" s="106"/>
      <c r="K145" s="279">
        <v>61</v>
      </c>
      <c r="L145" s="106">
        <f t="shared" si="13"/>
        <v>23</v>
      </c>
      <c r="M145" s="106">
        <f>M144</f>
        <v>39</v>
      </c>
      <c r="N145" s="106">
        <f>N144+1</f>
        <v>52</v>
      </c>
      <c r="O145" s="106">
        <f>O144</f>
        <v>64</v>
      </c>
      <c r="P145" s="106">
        <f>P144+1</f>
        <v>73</v>
      </c>
      <c r="Q145" s="106">
        <f>Q144</f>
        <v>81</v>
      </c>
      <c r="R145" s="106">
        <f>R144+1</f>
        <v>90</v>
      </c>
      <c r="S145" s="106">
        <f>S144</f>
        <v>98</v>
      </c>
      <c r="T145" s="106"/>
      <c r="U145" s="106"/>
      <c r="V145" s="106"/>
      <c r="W145" s="106"/>
      <c r="X145" s="106"/>
      <c r="Y145" s="106"/>
      <c r="Z145" s="106"/>
    </row>
    <row r="146" spans="1:26" x14ac:dyDescent="0.25">
      <c r="A146" s="106"/>
      <c r="B146" s="106"/>
      <c r="C146" s="106"/>
      <c r="D146" s="106"/>
      <c r="E146" s="106"/>
      <c r="F146" s="106"/>
      <c r="G146" s="106"/>
      <c r="H146" s="106"/>
      <c r="I146" s="106"/>
      <c r="J146" s="106"/>
      <c r="K146" s="279">
        <v>62</v>
      </c>
      <c r="L146" s="106">
        <f t="shared" si="13"/>
        <v>23</v>
      </c>
      <c r="M146" s="106">
        <f>M145+1</f>
        <v>40</v>
      </c>
      <c r="N146" s="106">
        <f>N145</f>
        <v>52</v>
      </c>
      <c r="O146" s="106">
        <f>O145</f>
        <v>64</v>
      </c>
      <c r="P146" s="106">
        <f>P145</f>
        <v>73</v>
      </c>
      <c r="Q146" s="106">
        <f>Q145+1</f>
        <v>82</v>
      </c>
      <c r="R146" s="106">
        <f>R145</f>
        <v>90</v>
      </c>
      <c r="S146" s="106">
        <f>S145+1</f>
        <v>99</v>
      </c>
      <c r="T146" s="106"/>
      <c r="U146" s="106"/>
      <c r="V146" s="106"/>
      <c r="W146" s="106"/>
      <c r="X146" s="106"/>
      <c r="Y146" s="106"/>
      <c r="Z146" s="106"/>
    </row>
    <row r="147" spans="1:26" x14ac:dyDescent="0.25">
      <c r="A147" s="106"/>
      <c r="B147" s="106"/>
      <c r="C147" s="106"/>
      <c r="D147" s="106"/>
      <c r="E147" s="106"/>
      <c r="F147" s="106"/>
      <c r="G147" s="106"/>
      <c r="H147" s="106"/>
      <c r="I147" s="106"/>
      <c r="J147" s="106"/>
      <c r="K147" s="279">
        <v>63</v>
      </c>
      <c r="L147" s="106">
        <f>L146+1</f>
        <v>24</v>
      </c>
      <c r="M147" s="106">
        <f>M146</f>
        <v>40</v>
      </c>
      <c r="N147" s="106">
        <f>N146</f>
        <v>52</v>
      </c>
      <c r="O147" s="106">
        <f>O146</f>
        <v>64</v>
      </c>
      <c r="P147" s="106">
        <f>P146+1</f>
        <v>74</v>
      </c>
      <c r="Q147" s="106">
        <f>Q146</f>
        <v>82</v>
      </c>
      <c r="R147" s="106">
        <f>R146+1</f>
        <v>91</v>
      </c>
      <c r="S147" s="106">
        <f>S146</f>
        <v>99</v>
      </c>
      <c r="T147" s="106"/>
      <c r="U147" s="106"/>
      <c r="V147" s="106"/>
      <c r="W147" s="106"/>
      <c r="X147" s="106"/>
      <c r="Y147" s="106"/>
      <c r="Z147" s="106"/>
    </row>
    <row r="148" spans="1:26" x14ac:dyDescent="0.25">
      <c r="A148" s="106"/>
      <c r="B148" s="106"/>
      <c r="C148" s="106"/>
      <c r="D148" s="106"/>
      <c r="E148" s="106"/>
      <c r="F148" s="106"/>
      <c r="G148" s="106"/>
      <c r="H148" s="106"/>
      <c r="I148" s="106"/>
      <c r="J148" s="106"/>
      <c r="K148" s="279">
        <v>64</v>
      </c>
      <c r="L148" s="106">
        <f>L147</f>
        <v>24</v>
      </c>
      <c r="M148" s="106">
        <f>M147</f>
        <v>40</v>
      </c>
      <c r="N148" s="106">
        <f>N147</f>
        <v>52</v>
      </c>
      <c r="O148" s="106">
        <f>O147+1</f>
        <v>65</v>
      </c>
      <c r="P148" s="106">
        <f>P147</f>
        <v>74</v>
      </c>
      <c r="Q148" s="106">
        <f>Q147+1</f>
        <v>83</v>
      </c>
      <c r="R148" s="106">
        <f>R147</f>
        <v>91</v>
      </c>
      <c r="S148" s="106">
        <f>S147+1</f>
        <v>100</v>
      </c>
      <c r="T148" s="106"/>
      <c r="U148" s="106"/>
      <c r="V148" s="106"/>
      <c r="W148" s="106"/>
      <c r="X148" s="106"/>
      <c r="Y148" s="106"/>
      <c r="Z148" s="106"/>
    </row>
    <row r="149" spans="1:26" x14ac:dyDescent="0.25">
      <c r="A149" s="106"/>
      <c r="B149" s="106"/>
      <c r="C149" s="106"/>
      <c r="D149" s="106"/>
      <c r="E149" s="106"/>
      <c r="F149" s="106"/>
      <c r="G149" s="106"/>
      <c r="H149" s="106"/>
      <c r="I149" s="106"/>
      <c r="J149" s="106"/>
      <c r="K149" s="279">
        <v>65</v>
      </c>
      <c r="L149" s="106">
        <f>L148</f>
        <v>24</v>
      </c>
      <c r="M149" s="106">
        <f>M148</f>
        <v>40</v>
      </c>
      <c r="N149" s="106">
        <f>N148+1</f>
        <v>53</v>
      </c>
      <c r="O149" s="106">
        <f>O148</f>
        <v>65</v>
      </c>
      <c r="P149" s="106">
        <f>P148+1</f>
        <v>75</v>
      </c>
      <c r="Q149" s="106">
        <f>Q148</f>
        <v>83</v>
      </c>
      <c r="R149" s="106">
        <f>R148+1</f>
        <v>92</v>
      </c>
      <c r="S149" s="106">
        <f>S148</f>
        <v>100</v>
      </c>
      <c r="T149" s="106"/>
      <c r="U149" s="106"/>
      <c r="V149" s="106"/>
      <c r="W149" s="106"/>
      <c r="X149" s="106"/>
      <c r="Y149" s="106"/>
      <c r="Z149" s="106"/>
    </row>
    <row r="150" spans="1:26" x14ac:dyDescent="0.25">
      <c r="A150" s="106"/>
      <c r="B150" s="106"/>
      <c r="C150" s="106"/>
      <c r="D150" s="106"/>
      <c r="E150" s="106"/>
      <c r="F150" s="106"/>
      <c r="G150" s="106"/>
      <c r="H150" s="106"/>
      <c r="I150" s="106"/>
      <c r="J150" s="106"/>
      <c r="K150" s="106"/>
      <c r="L150" s="106"/>
      <c r="M150" s="106"/>
      <c r="N150" s="106"/>
      <c r="O150" s="106"/>
      <c r="P150" s="106"/>
      <c r="Q150" s="106"/>
      <c r="R150" s="106"/>
      <c r="S150" s="106"/>
      <c r="T150" s="106"/>
      <c r="U150" s="106"/>
      <c r="V150" s="106"/>
      <c r="W150" s="106"/>
      <c r="X150" s="106"/>
      <c r="Y150" s="106"/>
      <c r="Z150" s="106"/>
    </row>
    <row r="151" spans="1:26" x14ac:dyDescent="0.25">
      <c r="A151" s="106"/>
      <c r="B151" s="106"/>
      <c r="C151" s="106"/>
      <c r="D151" s="106"/>
      <c r="E151" s="106"/>
      <c r="F151" s="106"/>
      <c r="G151" s="106"/>
      <c r="H151" s="106"/>
      <c r="I151" s="106"/>
      <c r="J151" s="106"/>
      <c r="K151" s="106"/>
      <c r="L151" s="106"/>
      <c r="M151" s="106"/>
      <c r="N151" s="106"/>
      <c r="O151" s="106"/>
      <c r="P151" s="106"/>
      <c r="Q151" s="106"/>
      <c r="R151" s="106"/>
      <c r="S151" s="106"/>
      <c r="T151" s="106"/>
      <c r="U151" s="106"/>
      <c r="V151" s="106"/>
      <c r="W151" s="106"/>
      <c r="X151" s="106"/>
      <c r="Y151" s="106"/>
      <c r="Z151" s="106"/>
    </row>
  </sheetData>
  <dataValidations count="2">
    <dataValidation type="list" allowBlank="1" showInputMessage="1" showErrorMessage="1" sqref="I3" xr:uid="{EA7B4199-109C-4574-B192-949B8CF5737F}">
      <formula1>"1 (Unarmoured),1 (Leather),1.5 (Scale),2 (Chainmail),3 (Ringmail),8 (Plate)"</formula1>
    </dataValidation>
    <dataValidation type="list" allowBlank="1" showInputMessage="1" showErrorMessage="1" promptTitle="Restricted Categories" prompt="Select applicable Category or leave as n/a." sqref="D7:E7" xr:uid="{00000000-0002-0000-0300-000000000000}">
      <formula1>$A$81:$A$96</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D100C-C089-48D6-8212-214B111D2852}">
  <dimension ref="A1:Z95"/>
  <sheetViews>
    <sheetView topLeftCell="A57" workbookViewId="0">
      <selection activeCell="B4" sqref="B4"/>
    </sheetView>
  </sheetViews>
  <sheetFormatPr defaultRowHeight="15.75" x14ac:dyDescent="0.25"/>
  <cols>
    <col min="1" max="1" width="17.25" bestFit="1" customWidth="1"/>
    <col min="2" max="2" width="33.625" bestFit="1" customWidth="1"/>
    <col min="3" max="3" width="15.875" bestFit="1" customWidth="1"/>
    <col min="4" max="4" width="7.75" bestFit="1" customWidth="1"/>
    <col min="5" max="5" width="3" bestFit="1" customWidth="1"/>
    <col min="6" max="6" width="13.625" bestFit="1" customWidth="1"/>
    <col min="7" max="7" width="3" bestFit="1" customWidth="1"/>
    <col min="8" max="8" width="7.25" bestFit="1" customWidth="1"/>
    <col min="9" max="9" width="5" bestFit="1" customWidth="1"/>
    <col min="11" max="11" width="28.75" customWidth="1"/>
    <col min="12" max="12" width="12" bestFit="1" customWidth="1"/>
    <col min="13" max="13" width="21.125" bestFit="1" customWidth="1"/>
  </cols>
  <sheetData>
    <row r="1" spans="1:26" s="194" customFormat="1" ht="18.75" x14ac:dyDescent="0.3">
      <c r="A1" s="93" t="str">
        <f>Name</f>
        <v>Name</v>
      </c>
      <c r="C1" s="1" t="str">
        <f>"as at:  "&amp;Date</f>
        <v>as at:  26 XIV 2505</v>
      </c>
      <c r="E1" s="238"/>
      <c r="J1" s="239"/>
      <c r="K1" s="240" t="s">
        <v>1226</v>
      </c>
      <c r="L1" s="242" t="s">
        <v>1306</v>
      </c>
      <c r="M1" s="241"/>
      <c r="N1" s="241"/>
      <c r="O1" s="241"/>
      <c r="P1" s="239"/>
      <c r="Q1" s="239"/>
      <c r="R1" s="239"/>
      <c r="S1" s="239"/>
      <c r="T1" s="239"/>
      <c r="U1" s="239"/>
      <c r="V1" s="239"/>
      <c r="W1" s="239"/>
      <c r="X1" s="239"/>
      <c r="Y1" s="239"/>
      <c r="Z1" s="239"/>
    </row>
    <row r="2" spans="1:26" x14ac:dyDescent="0.25">
      <c r="J2" s="20"/>
      <c r="K2" s="172" t="str">
        <f>'Characteristics &amp; Experience'!R39</f>
        <v>ALTIS</v>
      </c>
      <c r="L2" s="128" t="str">
        <f>K2</f>
        <v>ALTIS</v>
      </c>
      <c r="M2" s="184"/>
      <c r="N2" s="184"/>
      <c r="O2" s="184"/>
      <c r="P2" s="20"/>
      <c r="Q2" s="20"/>
      <c r="R2" s="20"/>
      <c r="S2" s="20"/>
      <c r="T2" s="20"/>
      <c r="U2" s="20"/>
      <c r="V2" s="20"/>
      <c r="W2" s="20"/>
      <c r="X2" s="20"/>
      <c r="Y2" s="20"/>
      <c r="Z2" s="20"/>
    </row>
    <row r="3" spans="1:26" x14ac:dyDescent="0.25">
      <c r="A3" s="2" t="s">
        <v>294</v>
      </c>
      <c r="H3" s="5" t="s">
        <v>295</v>
      </c>
      <c r="I3" s="1">
        <f>ClL</f>
        <v>1.5</v>
      </c>
      <c r="J3" s="20"/>
      <c r="K3" s="172" t="str">
        <f>'Characteristics &amp; Experience'!R40</f>
        <v>BARRL</v>
      </c>
      <c r="L3" s="128" t="s">
        <v>1243</v>
      </c>
      <c r="M3" s="184"/>
      <c r="N3" s="184"/>
      <c r="O3" s="184"/>
      <c r="P3" s="20"/>
      <c r="Q3" s="20"/>
      <c r="R3" s="20"/>
      <c r="S3" s="20"/>
      <c r="T3" s="20"/>
      <c r="U3" s="20"/>
      <c r="V3" s="20"/>
      <c r="W3" s="20"/>
      <c r="X3" s="20"/>
      <c r="Y3" s="20"/>
      <c r="Z3" s="20"/>
    </row>
    <row r="4" spans="1:26" x14ac:dyDescent="0.25">
      <c r="A4" s="5" t="s">
        <v>297</v>
      </c>
      <c r="B4" t="str">
        <f>God</f>
        <v>KOROS</v>
      </c>
      <c r="C4" s="8" t="str">
        <f>Alignment</f>
        <v>N/N</v>
      </c>
      <c r="D4" s="5" t="s">
        <v>298</v>
      </c>
      <c r="E4" s="26">
        <v>70</v>
      </c>
      <c r="F4" s="3" t="s">
        <v>299</v>
      </c>
      <c r="G4" s="1">
        <f ca="1">INT((ClL*(ClL+1)/2)+ClL+FtGod-11)</f>
        <v>6</v>
      </c>
      <c r="H4" s="5" t="s">
        <v>296</v>
      </c>
      <c r="I4" s="1">
        <f>(E4/100)*I3</f>
        <v>1.0499999999999998</v>
      </c>
      <c r="J4" s="20"/>
      <c r="K4" s="172" t="str">
        <f>'Characteristics &amp; Experience'!R41</f>
        <v>BUDIF</v>
      </c>
      <c r="L4" s="128" t="str">
        <f>K4</f>
        <v>BUDIF</v>
      </c>
      <c r="M4" s="184" t="s">
        <v>1307</v>
      </c>
      <c r="N4" s="184"/>
      <c r="O4" s="184"/>
      <c r="P4" s="20"/>
      <c r="Q4" s="20"/>
      <c r="R4" s="20"/>
      <c r="S4" s="20"/>
      <c r="T4" s="20"/>
      <c r="U4" s="20"/>
      <c r="V4" s="20"/>
      <c r="W4" s="20"/>
      <c r="X4" s="20"/>
      <c r="Y4" s="20"/>
      <c r="Z4" s="20"/>
    </row>
    <row r="5" spans="1:26" x14ac:dyDescent="0.25">
      <c r="A5" s="5" t="s">
        <v>1316</v>
      </c>
      <c r="B5" s="196" t="str">
        <f>VLOOKUP(B4,K2:L87,2,TRUE)</f>
        <v>KOROS</v>
      </c>
      <c r="F5" t="s">
        <v>301</v>
      </c>
      <c r="H5" s="5" t="s">
        <v>300</v>
      </c>
      <c r="I5" s="1">
        <f ca="1">Credit</f>
        <v>371</v>
      </c>
      <c r="J5" s="20"/>
      <c r="K5" s="172" t="str">
        <f>'Characteristics &amp; Experience'!R42</f>
        <v>CAERULAS</v>
      </c>
      <c r="L5" s="128" t="str">
        <f>K5</f>
        <v>CAERULAS</v>
      </c>
      <c r="M5" s="184"/>
      <c r="N5" s="184"/>
      <c r="O5" s="184"/>
      <c r="P5" s="20"/>
      <c r="Q5" s="20"/>
      <c r="R5" s="20"/>
      <c r="S5" s="20"/>
      <c r="T5" s="20"/>
      <c r="U5" s="20"/>
      <c r="V5" s="20"/>
      <c r="W5" s="20"/>
      <c r="X5" s="20"/>
      <c r="Y5" s="20"/>
      <c r="Z5" s="20"/>
    </row>
    <row r="6" spans="1:26" x14ac:dyDescent="0.25">
      <c r="A6" s="5" t="s">
        <v>1194</v>
      </c>
      <c r="B6" s="197"/>
      <c r="J6" s="20"/>
      <c r="K6" s="172" t="str">
        <f>'Characteristics &amp; Experience'!R43</f>
        <v>CERVIDA</v>
      </c>
      <c r="L6" s="128" t="s">
        <v>1236</v>
      </c>
      <c r="M6" s="184"/>
      <c r="N6" s="184"/>
      <c r="O6" s="184"/>
      <c r="P6" s="20"/>
      <c r="Q6" s="20"/>
      <c r="R6" s="20"/>
      <c r="S6" s="20"/>
      <c r="T6" s="20"/>
      <c r="U6" s="20"/>
      <c r="V6" s="20"/>
      <c r="W6" s="20"/>
      <c r="X6" s="20"/>
      <c r="Y6" s="20"/>
      <c r="Z6" s="20"/>
    </row>
    <row r="7" spans="1:26" x14ac:dyDescent="0.25">
      <c r="A7" s="5" t="s">
        <v>1195</v>
      </c>
      <c r="B7" s="197"/>
      <c r="J7" s="20"/>
      <c r="K7" s="172" t="str">
        <f>'Characteristics &amp; Experience'!R44</f>
        <v>DAELOTH</v>
      </c>
      <c r="L7" s="128" t="s">
        <v>1248</v>
      </c>
      <c r="M7" s="184"/>
      <c r="N7" s="184"/>
      <c r="O7" s="184"/>
      <c r="P7" s="20"/>
      <c r="Q7" s="20"/>
      <c r="R7" s="20"/>
      <c r="S7" s="20"/>
      <c r="T7" s="20"/>
      <c r="U7" s="20"/>
      <c r="V7" s="20"/>
      <c r="W7" s="20"/>
      <c r="X7" s="20"/>
      <c r="Y7" s="20"/>
      <c r="Z7" s="20"/>
    </row>
    <row r="8" spans="1:26" x14ac:dyDescent="0.25">
      <c r="A8" s="5"/>
      <c r="B8" s="5"/>
      <c r="J8" s="20"/>
      <c r="K8" s="172" t="str">
        <f>'Characteristics &amp; Experience'!R45</f>
        <v>DALA</v>
      </c>
      <c r="L8" s="128" t="str">
        <f>K8</f>
        <v>DALA</v>
      </c>
      <c r="M8" s="184"/>
      <c r="N8" s="184"/>
      <c r="O8" s="184"/>
      <c r="P8" s="20"/>
      <c r="Q8" s="20"/>
      <c r="R8" s="20"/>
      <c r="S8" s="20"/>
      <c r="T8" s="20"/>
      <c r="U8" s="20"/>
      <c r="V8" s="20"/>
      <c r="W8" s="20"/>
      <c r="X8" s="20"/>
      <c r="Y8" s="20"/>
      <c r="Z8" s="20"/>
    </row>
    <row r="9" spans="1:26" x14ac:dyDescent="0.25">
      <c r="A9" s="198" t="s">
        <v>1196</v>
      </c>
      <c r="J9" s="20"/>
      <c r="K9" s="172" t="str">
        <f>'Characteristics &amp; Experience'!R46</f>
        <v>ESCUS</v>
      </c>
      <c r="L9" s="128" t="str">
        <f>K9</f>
        <v>ESCUS</v>
      </c>
      <c r="M9" s="184"/>
      <c r="N9" s="184"/>
      <c r="O9" s="184"/>
      <c r="P9" s="20"/>
      <c r="Q9" s="20"/>
      <c r="R9" s="20"/>
      <c r="S9" s="20"/>
      <c r="T9" s="20"/>
      <c r="U9" s="20"/>
      <c r="V9" s="20"/>
      <c r="W9" s="20"/>
      <c r="X9" s="20"/>
      <c r="Y9" s="20"/>
      <c r="Z9" s="20"/>
    </row>
    <row r="10" spans="1:26" x14ac:dyDescent="0.25">
      <c r="A10" s="5" t="s">
        <v>302</v>
      </c>
      <c r="B10" s="3" t="s">
        <v>303</v>
      </c>
      <c r="C10" s="3"/>
      <c r="D10" s="6" t="s">
        <v>304</v>
      </c>
      <c r="J10" s="20"/>
      <c r="K10" s="172" t="str">
        <f>'Characteristics &amp; Experience'!R47</f>
        <v>FIDAR</v>
      </c>
      <c r="L10" s="128" t="str">
        <f>K10</f>
        <v>FIDAR</v>
      </c>
      <c r="M10" s="184"/>
      <c r="N10" s="184"/>
      <c r="O10" s="184"/>
      <c r="P10" s="20"/>
      <c r="Q10" s="20"/>
      <c r="R10" s="20"/>
      <c r="S10" s="20"/>
      <c r="T10" s="20"/>
      <c r="U10" s="20"/>
      <c r="V10" s="20"/>
      <c r="W10" s="20"/>
      <c r="X10" s="20"/>
      <c r="Y10" s="20"/>
      <c r="Z10" s="20"/>
    </row>
    <row r="11" spans="1:26" x14ac:dyDescent="0.25">
      <c r="A11" s="7" t="s">
        <v>305</v>
      </c>
      <c r="B11" t="s">
        <v>306</v>
      </c>
      <c r="D11" s="115">
        <v>0</v>
      </c>
      <c r="J11" s="20"/>
      <c r="K11" s="172" t="str">
        <f>'Characteristics &amp; Experience'!R48</f>
        <v>GANCHA</v>
      </c>
      <c r="L11" s="128" t="s">
        <v>1023</v>
      </c>
      <c r="M11" s="184" t="s">
        <v>1390</v>
      </c>
      <c r="N11" s="184"/>
      <c r="O11" s="184"/>
      <c r="P11" s="20"/>
      <c r="Q11" s="20"/>
      <c r="R11" s="20"/>
      <c r="S11" s="20"/>
      <c r="T11" s="20"/>
      <c r="U11" s="20"/>
      <c r="V11" s="20"/>
      <c r="W11" s="20"/>
      <c r="X11" s="20"/>
      <c r="Y11" s="20"/>
      <c r="Z11" s="20"/>
    </row>
    <row r="12" spans="1:26" x14ac:dyDescent="0.25">
      <c r="A12" s="7" t="s">
        <v>305</v>
      </c>
      <c r="B12" t="s">
        <v>307</v>
      </c>
      <c r="D12" s="115">
        <v>0</v>
      </c>
      <c r="J12" s="20"/>
      <c r="K12" s="172" t="str">
        <f>'Characteristics &amp; Experience'!R49</f>
        <v>HAERIM</v>
      </c>
      <c r="L12" s="128" t="str">
        <f>K12</f>
        <v>HAERIM</v>
      </c>
      <c r="M12" s="184"/>
      <c r="N12" s="184"/>
      <c r="O12" s="184"/>
      <c r="P12" s="20"/>
      <c r="Q12" s="20"/>
      <c r="R12" s="20"/>
      <c r="S12" s="20"/>
      <c r="T12" s="20"/>
      <c r="U12" s="20"/>
      <c r="V12" s="20"/>
      <c r="W12" s="20"/>
      <c r="X12" s="20"/>
      <c r="Y12" s="20"/>
      <c r="Z12" s="20"/>
    </row>
    <row r="13" spans="1:26" x14ac:dyDescent="0.25">
      <c r="A13" s="7" t="s">
        <v>305</v>
      </c>
      <c r="B13" t="s">
        <v>1397</v>
      </c>
      <c r="D13" s="115">
        <v>0</v>
      </c>
      <c r="J13" s="20"/>
      <c r="K13" s="172" t="str">
        <f>'Characteristics &amp; Experience'!R50</f>
        <v>HALCYON</v>
      </c>
      <c r="L13" s="128" t="s">
        <v>1235</v>
      </c>
      <c r="M13" s="184"/>
      <c r="N13" s="184"/>
      <c r="O13" s="184"/>
      <c r="P13" s="20"/>
      <c r="Q13" s="20"/>
      <c r="R13" s="20"/>
      <c r="S13" s="20"/>
      <c r="T13" s="20"/>
      <c r="U13" s="20"/>
      <c r="V13" s="20"/>
      <c r="W13" s="20"/>
      <c r="X13" s="20"/>
      <c r="Y13" s="20"/>
      <c r="Z13" s="20"/>
    </row>
    <row r="14" spans="1:26" x14ac:dyDescent="0.25">
      <c r="A14" s="7" t="s">
        <v>308</v>
      </c>
      <c r="B14" t="s">
        <v>309</v>
      </c>
      <c r="D14" s="115">
        <v>1</v>
      </c>
      <c r="J14" s="20"/>
      <c r="K14" s="172" t="str">
        <f>'Characteristics &amp; Experience'!R51</f>
        <v>HALKI</v>
      </c>
      <c r="L14" s="128" t="str">
        <f>K14</f>
        <v>HALKI</v>
      </c>
      <c r="M14" s="184" t="s">
        <v>1395</v>
      </c>
      <c r="N14" s="184"/>
      <c r="O14" s="184"/>
      <c r="P14" s="20"/>
      <c r="Q14" s="20"/>
      <c r="R14" s="20"/>
      <c r="S14" s="20"/>
      <c r="T14" s="20"/>
      <c r="U14" s="20"/>
      <c r="V14" s="20"/>
      <c r="W14" s="20"/>
      <c r="X14" s="20"/>
      <c r="Y14" s="20"/>
      <c r="Z14" s="20"/>
    </row>
    <row r="15" spans="1:26" x14ac:dyDescent="0.25">
      <c r="A15" s="7" t="s">
        <v>310</v>
      </c>
      <c r="B15" t="s">
        <v>311</v>
      </c>
      <c r="D15" s="115">
        <v>1</v>
      </c>
      <c r="J15" s="20"/>
      <c r="K15" s="172" t="str">
        <f>'Characteristics &amp; Experience'!R52</f>
        <v>HANDAMAN</v>
      </c>
      <c r="L15" s="128" t="s">
        <v>1236</v>
      </c>
      <c r="M15" s="184" t="s">
        <v>1389</v>
      </c>
      <c r="N15" s="184"/>
      <c r="O15" s="184"/>
      <c r="P15" s="20"/>
      <c r="Q15" s="20"/>
      <c r="R15" s="20"/>
      <c r="S15" s="20"/>
      <c r="T15" s="20"/>
      <c r="U15" s="20"/>
      <c r="V15" s="20"/>
      <c r="W15" s="20"/>
      <c r="X15" s="20"/>
      <c r="Y15" s="20"/>
      <c r="Z15" s="20"/>
    </row>
    <row r="16" spans="1:26" x14ac:dyDescent="0.25">
      <c r="A16" s="7">
        <v>1</v>
      </c>
      <c r="B16" t="s">
        <v>312</v>
      </c>
      <c r="D16" s="115">
        <v>0</v>
      </c>
      <c r="J16" s="20"/>
      <c r="K16" s="172" t="str">
        <f>'Characteristics &amp; Experience'!R53</f>
        <v>JAKK/THE RED COYOTE</v>
      </c>
      <c r="L16" s="128" t="s">
        <v>1242</v>
      </c>
      <c r="M16" s="184"/>
      <c r="N16" s="184"/>
      <c r="O16" s="184"/>
      <c r="P16" s="20"/>
      <c r="Q16" s="20"/>
      <c r="R16" s="20"/>
      <c r="S16" s="20"/>
      <c r="T16" s="20"/>
      <c r="U16" s="20"/>
      <c r="V16" s="20"/>
      <c r="W16" s="20"/>
      <c r="X16" s="20"/>
      <c r="Y16" s="20"/>
      <c r="Z16" s="20"/>
    </row>
    <row r="17" spans="1:26" x14ac:dyDescent="0.25">
      <c r="A17" s="7">
        <v>1</v>
      </c>
      <c r="B17" t="s">
        <v>313</v>
      </c>
      <c r="D17" s="115">
        <v>0</v>
      </c>
      <c r="J17" s="20"/>
      <c r="K17" s="172" t="str">
        <f>'Characteristics &amp; Experience'!R54</f>
        <v>JAPAL</v>
      </c>
      <c r="L17" s="128" t="s">
        <v>1023</v>
      </c>
      <c r="M17" s="184"/>
      <c r="N17" s="184"/>
      <c r="O17" s="184"/>
      <c r="P17" s="20"/>
      <c r="Q17" s="20"/>
      <c r="R17" s="20"/>
      <c r="S17" s="20"/>
      <c r="T17" s="20"/>
      <c r="U17" s="20"/>
      <c r="V17" s="20"/>
      <c r="W17" s="20"/>
      <c r="X17" s="20"/>
      <c r="Y17" s="20"/>
      <c r="Z17" s="20"/>
    </row>
    <row r="18" spans="1:26" x14ac:dyDescent="0.25">
      <c r="A18" s="7" t="s">
        <v>314</v>
      </c>
      <c r="B18" t="s">
        <v>315</v>
      </c>
      <c r="D18" s="115">
        <v>1</v>
      </c>
      <c r="J18" s="20"/>
      <c r="K18" s="172" t="str">
        <f>'Characteristics &amp; Experience'!R55</f>
        <v>KAROK</v>
      </c>
      <c r="L18" s="128" t="s">
        <v>1023</v>
      </c>
      <c r="M18" s="184"/>
      <c r="N18" s="184"/>
      <c r="O18" s="184"/>
      <c r="P18" s="20"/>
      <c r="Q18" s="20"/>
      <c r="R18" s="20"/>
      <c r="S18" s="20"/>
      <c r="T18" s="20"/>
      <c r="U18" s="20"/>
      <c r="V18" s="20"/>
      <c r="W18" s="20"/>
      <c r="X18" s="20"/>
      <c r="Y18" s="20"/>
      <c r="Z18" s="20"/>
    </row>
    <row r="19" spans="1:26" x14ac:dyDescent="0.25">
      <c r="A19" s="7">
        <v>2</v>
      </c>
      <c r="B19" t="s">
        <v>316</v>
      </c>
      <c r="D19" s="115">
        <v>1</v>
      </c>
      <c r="J19" s="20"/>
      <c r="K19" s="172" t="str">
        <f>'Characteristics &amp; Experience'!R56</f>
        <v>KASHAT</v>
      </c>
      <c r="L19" s="128" t="s">
        <v>1248</v>
      </c>
      <c r="M19" s="184"/>
      <c r="N19" s="184"/>
      <c r="O19" s="184"/>
      <c r="P19" s="20"/>
      <c r="Q19" s="20"/>
      <c r="R19" s="20"/>
      <c r="S19" s="20"/>
      <c r="T19" s="20"/>
      <c r="U19" s="20"/>
      <c r="V19" s="20"/>
      <c r="W19" s="20"/>
      <c r="X19" s="20"/>
      <c r="Y19" s="20"/>
      <c r="Z19" s="20"/>
    </row>
    <row r="20" spans="1:26" x14ac:dyDescent="0.25">
      <c r="A20" s="7">
        <v>2</v>
      </c>
      <c r="B20" t="s">
        <v>317</v>
      </c>
      <c r="D20" s="115">
        <v>0</v>
      </c>
      <c r="J20" s="20"/>
      <c r="K20" s="172" t="str">
        <f>'Characteristics &amp; Experience'!R57</f>
        <v>KOROS</v>
      </c>
      <c r="L20" s="128" t="str">
        <f>K20</f>
        <v>KOROS</v>
      </c>
      <c r="M20" s="184"/>
      <c r="N20" s="184"/>
      <c r="O20" s="184"/>
      <c r="P20" s="20"/>
      <c r="Q20" s="20"/>
      <c r="R20" s="20"/>
      <c r="S20" s="20"/>
      <c r="T20" s="20"/>
      <c r="U20" s="20"/>
      <c r="V20" s="20"/>
      <c r="W20" s="20"/>
      <c r="X20" s="20"/>
      <c r="Y20" s="20"/>
      <c r="Z20" s="20"/>
    </row>
    <row r="21" spans="1:26" x14ac:dyDescent="0.25">
      <c r="A21" s="7">
        <v>2</v>
      </c>
      <c r="B21" t="s">
        <v>318</v>
      </c>
      <c r="D21" s="115">
        <v>0</v>
      </c>
      <c r="J21" s="20"/>
      <c r="K21" s="172" t="str">
        <f>'Characteristics &amp; Experience'!R58</f>
        <v>LAMMIA</v>
      </c>
      <c r="L21" s="128" t="s">
        <v>1236</v>
      </c>
      <c r="M21" s="184"/>
      <c r="N21" s="184"/>
      <c r="O21" s="184"/>
      <c r="P21" s="20"/>
      <c r="Q21" s="20"/>
      <c r="R21" s="20"/>
      <c r="S21" s="20"/>
      <c r="T21" s="20"/>
      <c r="U21" s="20"/>
      <c r="V21" s="20"/>
      <c r="W21" s="20"/>
      <c r="X21" s="20"/>
      <c r="Y21" s="20"/>
      <c r="Z21" s="20"/>
    </row>
    <row r="22" spans="1:26" x14ac:dyDescent="0.25">
      <c r="A22" s="7">
        <v>2</v>
      </c>
      <c r="B22" t="s">
        <v>319</v>
      </c>
      <c r="D22" s="115">
        <v>0</v>
      </c>
      <c r="J22" s="20"/>
      <c r="K22" s="172" t="str">
        <f>'Characteristics &amp; Experience'!R59</f>
        <v>LIAKA</v>
      </c>
      <c r="L22" s="128" t="s">
        <v>1245</v>
      </c>
      <c r="M22" s="184"/>
      <c r="N22" s="184"/>
      <c r="O22" s="184"/>
      <c r="P22" s="20"/>
      <c r="Q22" s="20"/>
      <c r="R22" s="20"/>
      <c r="S22" s="20"/>
      <c r="T22" s="20"/>
      <c r="U22" s="20"/>
      <c r="V22" s="20"/>
      <c r="W22" s="20"/>
      <c r="X22" s="20"/>
      <c r="Y22" s="20"/>
      <c r="Z22" s="20"/>
    </row>
    <row r="23" spans="1:26" x14ac:dyDescent="0.25">
      <c r="A23" s="7" t="s">
        <v>320</v>
      </c>
      <c r="B23" t="s">
        <v>321</v>
      </c>
      <c r="D23" s="115">
        <v>1</v>
      </c>
      <c r="J23" s="20"/>
      <c r="K23" s="172" t="str">
        <f>'Characteristics &amp; Experience'!R60</f>
        <v>LLYWELLA</v>
      </c>
      <c r="L23" s="128" t="s">
        <v>1023</v>
      </c>
      <c r="M23" s="184"/>
      <c r="N23" s="184"/>
      <c r="O23" s="184"/>
      <c r="P23" s="20"/>
      <c r="Q23" s="20"/>
      <c r="R23" s="20"/>
      <c r="S23" s="20"/>
      <c r="T23" s="20"/>
      <c r="U23" s="20"/>
      <c r="V23" s="20"/>
      <c r="W23" s="20"/>
      <c r="X23" s="20"/>
      <c r="Y23" s="20"/>
      <c r="Z23" s="20"/>
    </row>
    <row r="24" spans="1:26" x14ac:dyDescent="0.25">
      <c r="A24" s="7">
        <v>2</v>
      </c>
      <c r="B24" t="s">
        <v>322</v>
      </c>
      <c r="D24" s="115">
        <v>0</v>
      </c>
      <c r="J24" s="20"/>
      <c r="K24" s="172" t="str">
        <f>'Characteristics &amp; Experience'!R61</f>
        <v>LOFIR</v>
      </c>
      <c r="L24" s="128" t="str">
        <f>K24</f>
        <v>LOFIR</v>
      </c>
      <c r="M24" s="184" t="s">
        <v>1311</v>
      </c>
      <c r="N24" s="184"/>
      <c r="O24" s="184"/>
      <c r="P24" s="20"/>
      <c r="Q24" s="20"/>
      <c r="R24" s="20"/>
      <c r="S24" s="20"/>
      <c r="T24" s="20"/>
      <c r="U24" s="20"/>
      <c r="V24" s="20"/>
      <c r="W24" s="20"/>
      <c r="X24" s="20"/>
      <c r="Y24" s="20"/>
      <c r="Z24" s="20"/>
    </row>
    <row r="25" spans="1:26" x14ac:dyDescent="0.25">
      <c r="A25" s="7" t="s">
        <v>323</v>
      </c>
      <c r="B25" t="s">
        <v>324</v>
      </c>
      <c r="D25" s="115">
        <v>1</v>
      </c>
      <c r="J25" s="20"/>
      <c r="K25" s="172" t="str">
        <f>'Characteristics &amp; Experience'!R62</f>
        <v>MELLIA</v>
      </c>
      <c r="L25" s="128" t="s">
        <v>1235</v>
      </c>
      <c r="M25" s="184"/>
      <c r="N25" s="184"/>
      <c r="O25" s="184"/>
      <c r="P25" s="20"/>
      <c r="Q25" s="20"/>
      <c r="R25" s="20"/>
      <c r="S25" s="20"/>
      <c r="T25" s="20"/>
      <c r="U25" s="20"/>
      <c r="V25" s="20"/>
      <c r="W25" s="20"/>
      <c r="X25" s="20"/>
      <c r="Y25" s="20"/>
      <c r="Z25" s="20"/>
    </row>
    <row r="26" spans="1:26" x14ac:dyDescent="0.25">
      <c r="A26" s="7">
        <v>3</v>
      </c>
      <c r="B26" t="s">
        <v>325</v>
      </c>
      <c r="D26" s="115">
        <v>0</v>
      </c>
      <c r="J26" s="20"/>
      <c r="K26" s="172" t="str">
        <f>'Characteristics &amp; Experience'!R63</f>
        <v>MERLO</v>
      </c>
      <c r="L26" s="128" t="s">
        <v>1237</v>
      </c>
      <c r="M26" s="184"/>
      <c r="N26" s="184"/>
      <c r="O26" s="184"/>
      <c r="P26" s="20"/>
      <c r="Q26" s="20"/>
      <c r="R26" s="20"/>
      <c r="S26" s="20"/>
      <c r="T26" s="20"/>
      <c r="U26" s="20"/>
      <c r="V26" s="20"/>
      <c r="W26" s="20"/>
      <c r="X26" s="20"/>
      <c r="Y26" s="20"/>
      <c r="Z26" s="20"/>
    </row>
    <row r="27" spans="1:26" x14ac:dyDescent="0.25">
      <c r="A27" s="7">
        <v>3</v>
      </c>
      <c r="B27" t="s">
        <v>326</v>
      </c>
      <c r="D27" s="115">
        <v>0</v>
      </c>
      <c r="J27" s="20"/>
      <c r="K27" s="172" t="str">
        <f>'Characteristics &amp; Experience'!R64</f>
        <v>MIRIMI</v>
      </c>
      <c r="L27" s="128" t="str">
        <f>K27</f>
        <v>MIRIMI</v>
      </c>
      <c r="M27" s="184"/>
      <c r="N27" s="184"/>
      <c r="O27" s="184"/>
      <c r="P27" s="20"/>
      <c r="Q27" s="20"/>
      <c r="R27" s="20"/>
      <c r="S27" s="20"/>
      <c r="T27" s="20"/>
      <c r="U27" s="20"/>
      <c r="V27" s="20"/>
      <c r="W27" s="20"/>
      <c r="X27" s="20"/>
      <c r="Y27" s="20"/>
      <c r="Z27" s="20"/>
    </row>
    <row r="28" spans="1:26" x14ac:dyDescent="0.25">
      <c r="A28" s="7" t="s">
        <v>327</v>
      </c>
      <c r="B28" t="s">
        <v>328</v>
      </c>
      <c r="D28" s="115">
        <v>1</v>
      </c>
      <c r="J28" s="20"/>
      <c r="K28" s="172" t="str">
        <f>'Characteristics &amp; Experience'!R65</f>
        <v>MORCOR</v>
      </c>
      <c r="L28" s="128" t="s">
        <v>1248</v>
      </c>
      <c r="M28" s="184"/>
      <c r="N28" s="184"/>
      <c r="O28" s="184"/>
      <c r="P28" s="20"/>
      <c r="Q28" s="20"/>
      <c r="R28" s="20"/>
      <c r="S28" s="20"/>
      <c r="T28" s="20"/>
      <c r="U28" s="20"/>
      <c r="V28" s="20"/>
      <c r="W28" s="20"/>
      <c r="X28" s="20"/>
      <c r="Y28" s="20"/>
      <c r="Z28" s="20"/>
    </row>
    <row r="29" spans="1:26" x14ac:dyDescent="0.25">
      <c r="A29" s="7">
        <v>4</v>
      </c>
      <c r="B29" t="s">
        <v>329</v>
      </c>
      <c r="D29" s="115">
        <v>1</v>
      </c>
      <c r="J29" s="20"/>
      <c r="K29" s="172" t="str">
        <f>'Characteristics &amp; Experience'!R66</f>
        <v>NORRID</v>
      </c>
      <c r="L29" s="128" t="s">
        <v>1023</v>
      </c>
      <c r="M29" s="184"/>
      <c r="N29" s="184"/>
      <c r="O29" s="184"/>
      <c r="P29" s="20"/>
      <c r="Q29" s="20"/>
      <c r="R29" s="20"/>
      <c r="S29" s="20"/>
      <c r="T29" s="20"/>
      <c r="U29" s="20"/>
      <c r="V29" s="20"/>
      <c r="W29" s="20"/>
      <c r="X29" s="20"/>
      <c r="Y29" s="20"/>
      <c r="Z29" s="20"/>
    </row>
    <row r="30" spans="1:26" x14ac:dyDescent="0.25">
      <c r="A30" s="7">
        <v>4</v>
      </c>
      <c r="B30" t="s">
        <v>330</v>
      </c>
      <c r="D30" s="115">
        <v>0</v>
      </c>
      <c r="J30" s="20"/>
      <c r="K30" s="172" t="str">
        <f>'Characteristics &amp; Experience'!R67</f>
        <v>OPSOR</v>
      </c>
      <c r="L30" s="128" t="str">
        <f>K30</f>
        <v>OPSOR</v>
      </c>
      <c r="M30" s="184" t="s">
        <v>1310</v>
      </c>
      <c r="N30" s="184"/>
      <c r="O30" s="184"/>
      <c r="P30" s="20"/>
      <c r="Q30" s="20"/>
      <c r="R30" s="20"/>
      <c r="S30" s="20"/>
      <c r="T30" s="20"/>
      <c r="U30" s="20"/>
      <c r="V30" s="20"/>
      <c r="W30" s="20"/>
      <c r="X30" s="20"/>
      <c r="Y30" s="20"/>
      <c r="Z30" s="20"/>
    </row>
    <row r="31" spans="1:26" x14ac:dyDescent="0.25">
      <c r="A31" s="7">
        <v>4</v>
      </c>
      <c r="B31" t="s">
        <v>331</v>
      </c>
      <c r="D31" s="115">
        <v>0</v>
      </c>
      <c r="J31" s="20"/>
      <c r="K31" s="172" t="str">
        <f>'Characteristics &amp; Experience'!R68</f>
        <v>ORIL</v>
      </c>
      <c r="L31" s="128" t="str">
        <f>K31</f>
        <v>ORIL</v>
      </c>
      <c r="M31" s="184" t="s">
        <v>1308</v>
      </c>
      <c r="N31" s="184"/>
      <c r="O31" s="184"/>
      <c r="P31" s="20"/>
      <c r="Q31" s="20"/>
      <c r="R31" s="20"/>
      <c r="S31" s="20"/>
      <c r="T31" s="20"/>
      <c r="U31" s="20"/>
      <c r="V31" s="20"/>
      <c r="W31" s="20"/>
      <c r="X31" s="20"/>
      <c r="Y31" s="20"/>
      <c r="Z31" s="20"/>
    </row>
    <row r="32" spans="1:26" x14ac:dyDescent="0.25">
      <c r="A32" s="7">
        <v>4</v>
      </c>
      <c r="B32" t="s">
        <v>332</v>
      </c>
      <c r="D32" s="115">
        <v>0</v>
      </c>
      <c r="J32" s="20"/>
      <c r="K32" s="172" t="str">
        <f>'Characteristics &amp; Experience'!R69</f>
        <v>ORORO</v>
      </c>
      <c r="L32" s="128" t="s">
        <v>1237</v>
      </c>
      <c r="M32" s="184"/>
      <c r="N32" s="184"/>
      <c r="O32" s="184"/>
      <c r="P32" s="20"/>
      <c r="Q32" s="20"/>
      <c r="R32" s="20"/>
      <c r="S32" s="20"/>
      <c r="T32" s="20"/>
      <c r="U32" s="20"/>
      <c r="V32" s="20"/>
      <c r="W32" s="20"/>
      <c r="X32" s="20"/>
      <c r="Y32" s="20"/>
      <c r="Z32" s="20"/>
    </row>
    <row r="33" spans="1:26" x14ac:dyDescent="0.25">
      <c r="A33" s="7">
        <v>4</v>
      </c>
      <c r="B33" t="s">
        <v>333</v>
      </c>
      <c r="D33" s="115">
        <v>1</v>
      </c>
      <c r="J33" s="20"/>
      <c r="K33" s="172" t="str">
        <f>'Characteristics &amp; Experience'!R70</f>
        <v>OUROBOROS</v>
      </c>
      <c r="L33" s="128" t="s">
        <v>1023</v>
      </c>
      <c r="M33" s="184"/>
      <c r="N33" s="184"/>
      <c r="O33" s="184"/>
      <c r="P33" s="20"/>
      <c r="Q33" s="20"/>
      <c r="R33" s="20"/>
      <c r="S33" s="20"/>
      <c r="T33" s="20"/>
      <c r="U33" s="20"/>
      <c r="V33" s="20"/>
      <c r="W33" s="20"/>
      <c r="X33" s="20"/>
      <c r="Y33" s="20"/>
      <c r="Z33" s="20"/>
    </row>
    <row r="34" spans="1:26" x14ac:dyDescent="0.25">
      <c r="A34" s="7">
        <v>4</v>
      </c>
      <c r="B34" t="s">
        <v>334</v>
      </c>
      <c r="D34" s="115">
        <v>0</v>
      </c>
      <c r="J34" s="20"/>
      <c r="K34" s="172" t="str">
        <f>'Characteristics &amp; Experience'!R71</f>
        <v>OUROBOROS (Dark Side)</v>
      </c>
      <c r="L34" s="128" t="s">
        <v>1243</v>
      </c>
      <c r="M34" s="184"/>
      <c r="N34" s="184"/>
      <c r="O34" s="184"/>
      <c r="P34" s="20"/>
      <c r="Q34" s="20"/>
      <c r="R34" s="20"/>
      <c r="S34" s="20"/>
      <c r="T34" s="20"/>
      <c r="U34" s="20"/>
      <c r="V34" s="20"/>
      <c r="W34" s="20"/>
      <c r="X34" s="20"/>
      <c r="Y34" s="20"/>
      <c r="Z34" s="20"/>
    </row>
    <row r="35" spans="1:26" x14ac:dyDescent="0.25">
      <c r="A35" s="7">
        <v>5</v>
      </c>
      <c r="B35" t="s">
        <v>335</v>
      </c>
      <c r="D35" s="115">
        <v>0</v>
      </c>
      <c r="J35" s="20"/>
      <c r="K35" s="172" t="str">
        <f>'Characteristics &amp; Experience'!R72</f>
        <v>PAREL</v>
      </c>
      <c r="L35" s="128" t="str">
        <f>K35</f>
        <v>PAREL</v>
      </c>
      <c r="M35" s="184"/>
      <c r="N35" s="184"/>
      <c r="O35" s="184"/>
      <c r="P35" s="20"/>
      <c r="Q35" s="20"/>
      <c r="R35" s="20"/>
      <c r="S35" s="20"/>
      <c r="T35" s="20"/>
      <c r="U35" s="20"/>
      <c r="V35" s="20"/>
      <c r="W35" s="20"/>
      <c r="X35" s="20"/>
      <c r="Y35" s="20"/>
      <c r="Z35" s="20"/>
    </row>
    <row r="36" spans="1:26" x14ac:dyDescent="0.25">
      <c r="A36" s="7">
        <v>5</v>
      </c>
      <c r="B36" t="s">
        <v>336</v>
      </c>
      <c r="D36" s="115">
        <v>0</v>
      </c>
      <c r="J36" s="20"/>
      <c r="K36" s="172" t="str">
        <f>'Characteristics &amp; Experience'!R73</f>
        <v>PHANTOM</v>
      </c>
      <c r="L36" s="128" t="s">
        <v>1246</v>
      </c>
      <c r="M36" s="184"/>
      <c r="N36" s="184"/>
      <c r="O36" s="184"/>
      <c r="P36" s="20"/>
      <c r="Q36" s="20"/>
      <c r="R36" s="20"/>
      <c r="S36" s="20"/>
      <c r="T36" s="20"/>
      <c r="U36" s="20"/>
      <c r="V36" s="20"/>
      <c r="W36" s="20"/>
      <c r="X36" s="20"/>
      <c r="Y36" s="20"/>
      <c r="Z36" s="20"/>
    </row>
    <row r="37" spans="1:26" x14ac:dyDescent="0.25">
      <c r="A37" s="7">
        <v>5</v>
      </c>
      <c r="B37" t="s">
        <v>337</v>
      </c>
      <c r="D37" s="115">
        <v>0</v>
      </c>
      <c r="J37" s="20"/>
      <c r="K37" s="172" t="str">
        <f>'Characteristics &amp; Experience'!R74</f>
        <v>QUAYAG</v>
      </c>
      <c r="L37" s="128" t="s">
        <v>1023</v>
      </c>
      <c r="M37" s="184"/>
      <c r="N37" s="184"/>
      <c r="O37" s="184"/>
      <c r="P37" s="20"/>
      <c r="Q37" s="20"/>
      <c r="R37" s="20"/>
      <c r="S37" s="20"/>
      <c r="T37" s="20"/>
      <c r="U37" s="20"/>
      <c r="V37" s="20"/>
      <c r="W37" s="20"/>
      <c r="X37" s="20"/>
      <c r="Y37" s="20"/>
      <c r="Z37" s="20"/>
    </row>
    <row r="38" spans="1:26" x14ac:dyDescent="0.25">
      <c r="A38" s="7">
        <v>5</v>
      </c>
      <c r="B38" t="s">
        <v>338</v>
      </c>
      <c r="D38" s="115">
        <v>0</v>
      </c>
      <c r="J38" s="20"/>
      <c r="K38" s="172" t="str">
        <f>'Characteristics &amp; Experience'!R75</f>
        <v>RABBAT</v>
      </c>
      <c r="L38" s="128" t="s">
        <v>1239</v>
      </c>
      <c r="M38" s="184"/>
      <c r="N38" s="184"/>
      <c r="O38" s="184"/>
      <c r="P38" s="20"/>
      <c r="Q38" s="20"/>
      <c r="R38" s="20"/>
      <c r="S38" s="20"/>
      <c r="T38" s="20"/>
      <c r="U38" s="20"/>
      <c r="V38" s="20"/>
      <c r="W38" s="20"/>
      <c r="X38" s="20"/>
      <c r="Y38" s="20"/>
      <c r="Z38" s="20"/>
    </row>
    <row r="39" spans="1:26" x14ac:dyDescent="0.25">
      <c r="A39" s="7">
        <v>5</v>
      </c>
      <c r="B39" t="s">
        <v>339</v>
      </c>
      <c r="D39" s="115">
        <v>1</v>
      </c>
      <c r="J39" s="20"/>
      <c r="K39" s="172" t="str">
        <f>'Characteristics &amp; Experience'!R76</f>
        <v>RATTUS</v>
      </c>
      <c r="L39" s="128" t="s">
        <v>1245</v>
      </c>
      <c r="M39" s="184"/>
      <c r="N39" s="184"/>
      <c r="O39" s="184"/>
      <c r="P39" s="20"/>
      <c r="Q39" s="20"/>
      <c r="R39" s="20"/>
      <c r="S39" s="20"/>
      <c r="T39" s="20"/>
      <c r="U39" s="20"/>
      <c r="V39" s="20"/>
      <c r="W39" s="20"/>
      <c r="X39" s="20"/>
      <c r="Y39" s="20"/>
      <c r="Z39" s="20"/>
    </row>
    <row r="40" spans="1:26" x14ac:dyDescent="0.25">
      <c r="A40" s="7">
        <v>6</v>
      </c>
      <c r="B40" t="s">
        <v>340</v>
      </c>
      <c r="D40" s="115">
        <v>0</v>
      </c>
      <c r="J40" s="20"/>
      <c r="K40" s="172" t="str">
        <f>'Characteristics &amp; Experience'!R77</f>
        <v>RAVAR</v>
      </c>
      <c r="L40" s="128" t="str">
        <f>K40</f>
        <v>RAVAR</v>
      </c>
      <c r="M40" s="184" t="s">
        <v>1394</v>
      </c>
      <c r="N40" s="184"/>
      <c r="O40" s="184"/>
      <c r="P40" s="20"/>
      <c r="Q40" s="20"/>
      <c r="R40" s="20"/>
      <c r="S40" s="20"/>
      <c r="T40" s="20"/>
      <c r="U40" s="20"/>
      <c r="V40" s="20"/>
      <c r="W40" s="20"/>
      <c r="X40" s="20"/>
      <c r="Y40" s="20"/>
      <c r="Z40" s="20"/>
    </row>
    <row r="41" spans="1:26" x14ac:dyDescent="0.25">
      <c r="A41" s="7">
        <v>6</v>
      </c>
      <c r="B41" t="s">
        <v>341</v>
      </c>
      <c r="D41" s="115">
        <v>0</v>
      </c>
      <c r="J41" s="20"/>
      <c r="K41" s="172" t="str">
        <f>'Characteristics &amp; Experience'!R78</f>
        <v>RAYLIT</v>
      </c>
      <c r="L41" s="128" t="str">
        <f>K41</f>
        <v>RAYLIT</v>
      </c>
      <c r="M41" s="184"/>
      <c r="N41" s="184"/>
      <c r="O41" s="184"/>
      <c r="P41" s="20"/>
      <c r="Q41" s="20"/>
      <c r="R41" s="20"/>
      <c r="S41" s="20"/>
      <c r="T41" s="20"/>
      <c r="U41" s="20"/>
      <c r="V41" s="20"/>
      <c r="W41" s="20"/>
      <c r="X41" s="20"/>
      <c r="Y41" s="20"/>
      <c r="Z41" s="20"/>
    </row>
    <row r="42" spans="1:26" x14ac:dyDescent="0.25">
      <c r="A42" s="7">
        <v>6</v>
      </c>
      <c r="B42" t="s">
        <v>342</v>
      </c>
      <c r="D42" s="115">
        <v>0</v>
      </c>
      <c r="J42" s="20"/>
      <c r="K42" s="172" t="str">
        <f>'Characteristics &amp; Experience'!R79</f>
        <v>SARAN</v>
      </c>
      <c r="L42" s="128" t="str">
        <f>K42</f>
        <v>SARAN</v>
      </c>
      <c r="M42" s="184"/>
      <c r="N42" s="184"/>
      <c r="O42" s="184"/>
      <c r="P42" s="20"/>
      <c r="Q42" s="20"/>
      <c r="R42" s="20"/>
      <c r="S42" s="20"/>
      <c r="T42" s="20"/>
      <c r="U42" s="20"/>
      <c r="V42" s="20"/>
      <c r="W42" s="20"/>
      <c r="X42" s="20"/>
      <c r="Y42" s="20"/>
      <c r="Z42" s="20"/>
    </row>
    <row r="43" spans="1:26" x14ac:dyDescent="0.25">
      <c r="A43" s="7">
        <v>6</v>
      </c>
      <c r="B43" t="s">
        <v>343</v>
      </c>
      <c r="D43" s="115">
        <v>0</v>
      </c>
      <c r="J43" s="20"/>
      <c r="K43" s="172" t="str">
        <f>'Characteristics &amp; Experience'!R80</f>
        <v>SHELDA</v>
      </c>
      <c r="L43" s="128" t="str">
        <f>K43</f>
        <v>SHELDA</v>
      </c>
      <c r="M43" s="184"/>
      <c r="N43" s="184"/>
      <c r="O43" s="184"/>
      <c r="P43" s="20"/>
      <c r="Q43" s="20"/>
      <c r="R43" s="20"/>
      <c r="S43" s="20"/>
      <c r="T43" s="20"/>
      <c r="U43" s="20"/>
      <c r="V43" s="20"/>
      <c r="W43" s="20"/>
      <c r="X43" s="20"/>
      <c r="Y43" s="20"/>
      <c r="Z43" s="20"/>
    </row>
    <row r="44" spans="1:26" x14ac:dyDescent="0.25">
      <c r="A44" s="7">
        <v>6</v>
      </c>
      <c r="B44" t="s">
        <v>344</v>
      </c>
      <c r="D44" s="115">
        <v>0</v>
      </c>
      <c r="J44" s="20"/>
      <c r="K44" s="172" t="str">
        <f>'Characteristics &amp; Experience'!R81</f>
        <v>SIMBA</v>
      </c>
      <c r="L44" s="128" t="s">
        <v>1245</v>
      </c>
      <c r="M44" s="184"/>
      <c r="N44" s="184"/>
      <c r="O44" s="184"/>
      <c r="P44" s="20"/>
      <c r="Q44" s="20"/>
      <c r="R44" s="20"/>
      <c r="S44" s="20"/>
      <c r="T44" s="20"/>
      <c r="U44" s="20"/>
      <c r="V44" s="20"/>
      <c r="W44" s="20"/>
      <c r="X44" s="20"/>
      <c r="Y44" s="20"/>
      <c r="Z44" s="20"/>
    </row>
    <row r="45" spans="1:26" x14ac:dyDescent="0.25">
      <c r="A45" s="7">
        <v>6</v>
      </c>
      <c r="B45" t="s">
        <v>345</v>
      </c>
      <c r="D45" s="115">
        <v>1</v>
      </c>
      <c r="J45" s="20"/>
      <c r="K45" s="172" t="str">
        <f>'Characteristics &amp; Experience'!R82</f>
        <v>SNARF</v>
      </c>
      <c r="L45" s="128" t="s">
        <v>1248</v>
      </c>
      <c r="M45" s="184"/>
      <c r="N45" s="184"/>
      <c r="O45" s="184"/>
      <c r="P45" s="20"/>
      <c r="Q45" s="20"/>
      <c r="R45" s="20"/>
      <c r="S45" s="20"/>
      <c r="T45" s="20"/>
      <c r="U45" s="20"/>
      <c r="V45" s="20"/>
      <c r="W45" s="20"/>
      <c r="X45" s="20"/>
      <c r="Y45" s="20"/>
      <c r="Z45" s="20"/>
    </row>
    <row r="46" spans="1:26" x14ac:dyDescent="0.25">
      <c r="A46" s="7">
        <v>6</v>
      </c>
      <c r="B46" t="s">
        <v>346</v>
      </c>
      <c r="D46" s="115">
        <v>0</v>
      </c>
      <c r="J46" s="20"/>
      <c r="K46" s="172" t="str">
        <f>'Characteristics &amp; Experience'!R83</f>
        <v>SKARZ</v>
      </c>
      <c r="L46" s="128" t="s">
        <v>1243</v>
      </c>
      <c r="M46" s="184"/>
      <c r="N46" s="184"/>
      <c r="O46" s="184"/>
      <c r="P46" s="20"/>
      <c r="Q46" s="20"/>
      <c r="R46" s="20"/>
      <c r="S46" s="20"/>
      <c r="T46" s="20"/>
      <c r="U46" s="20"/>
      <c r="V46" s="20"/>
      <c r="W46" s="20"/>
      <c r="X46" s="20"/>
      <c r="Y46" s="20"/>
      <c r="Z46" s="20"/>
    </row>
    <row r="47" spans="1:26" x14ac:dyDescent="0.25">
      <c r="A47" s="7">
        <v>7</v>
      </c>
      <c r="B47" t="s">
        <v>347</v>
      </c>
      <c r="D47" s="115">
        <v>1</v>
      </c>
      <c r="J47" s="20"/>
      <c r="K47" s="172" t="str">
        <f>'Characteristics &amp; Experience'!R84</f>
        <v>SOROK</v>
      </c>
      <c r="L47" s="128" t="str">
        <f>K47</f>
        <v>SOROK</v>
      </c>
      <c r="M47" s="184"/>
      <c r="N47" s="184"/>
      <c r="O47" s="184"/>
      <c r="P47" s="20"/>
      <c r="Q47" s="20"/>
      <c r="R47" s="20"/>
      <c r="S47" s="20"/>
      <c r="T47" s="20"/>
      <c r="U47" s="20"/>
      <c r="V47" s="20"/>
      <c r="W47" s="20"/>
      <c r="X47" s="20"/>
      <c r="Y47" s="20"/>
      <c r="Z47" s="20"/>
    </row>
    <row r="48" spans="1:26" x14ac:dyDescent="0.25">
      <c r="A48" s="7">
        <v>7</v>
      </c>
      <c r="B48" t="s">
        <v>348</v>
      </c>
      <c r="D48" s="115">
        <v>0</v>
      </c>
      <c r="J48" s="20"/>
      <c r="K48" s="172" t="str">
        <f>'Characteristics &amp; Experience'!R85</f>
        <v>SORONVAL</v>
      </c>
      <c r="L48" s="128" t="s">
        <v>1023</v>
      </c>
      <c r="M48" s="184"/>
      <c r="N48" s="184"/>
      <c r="O48" s="184"/>
      <c r="P48" s="20"/>
      <c r="Q48" s="20"/>
      <c r="R48" s="20"/>
      <c r="S48" s="20"/>
      <c r="T48" s="20"/>
      <c r="U48" s="20"/>
      <c r="V48" s="20"/>
      <c r="W48" s="20"/>
      <c r="X48" s="20"/>
      <c r="Y48" s="20"/>
      <c r="Z48" s="20"/>
    </row>
    <row r="49" spans="1:26" x14ac:dyDescent="0.25">
      <c r="A49" s="7">
        <v>7</v>
      </c>
      <c r="B49" t="s">
        <v>349</v>
      </c>
      <c r="D49" s="115">
        <v>0</v>
      </c>
      <c r="J49" s="20"/>
      <c r="K49" s="172" t="str">
        <f>'Characteristics &amp; Experience'!R86</f>
        <v>STRAMMASCH</v>
      </c>
      <c r="L49" s="128" t="s">
        <v>1248</v>
      </c>
      <c r="M49" s="184"/>
      <c r="N49" s="184"/>
      <c r="O49" s="184"/>
      <c r="P49" s="20"/>
      <c r="Q49" s="20"/>
      <c r="R49" s="20"/>
      <c r="S49" s="20"/>
      <c r="T49" s="20"/>
      <c r="U49" s="20"/>
      <c r="V49" s="20"/>
      <c r="W49" s="20"/>
      <c r="X49" s="20"/>
      <c r="Y49" s="20"/>
      <c r="Z49" s="20"/>
    </row>
    <row r="50" spans="1:26" x14ac:dyDescent="0.25">
      <c r="A50" s="7">
        <v>8</v>
      </c>
      <c r="B50" t="s">
        <v>350</v>
      </c>
      <c r="D50" s="115">
        <v>0</v>
      </c>
      <c r="J50" s="20"/>
      <c r="K50" s="172" t="str">
        <f>'Characteristics &amp; Experience'!R87</f>
        <v>SURGAT</v>
      </c>
      <c r="L50" s="128" t="s">
        <v>1227</v>
      </c>
      <c r="M50" s="184"/>
      <c r="N50" s="184"/>
      <c r="O50" s="184"/>
      <c r="P50" s="20"/>
      <c r="Q50" s="20"/>
      <c r="R50" s="20"/>
      <c r="S50" s="20"/>
      <c r="T50" s="20"/>
      <c r="U50" s="20"/>
      <c r="V50" s="20"/>
      <c r="W50" s="20"/>
      <c r="X50" s="20"/>
      <c r="Y50" s="20"/>
      <c r="Z50" s="20"/>
    </row>
    <row r="51" spans="1:26" x14ac:dyDescent="0.25">
      <c r="A51" s="7">
        <v>8</v>
      </c>
      <c r="B51" t="s">
        <v>351</v>
      </c>
      <c r="D51" s="115">
        <v>0</v>
      </c>
      <c r="J51" s="20"/>
      <c r="K51" s="172" t="str">
        <f>'Characteristics &amp; Experience'!R88</f>
        <v>TERRIK</v>
      </c>
      <c r="L51" s="128" t="str">
        <f>K51</f>
        <v>TERRIK</v>
      </c>
      <c r="M51" s="184"/>
      <c r="N51" s="184"/>
      <c r="O51" s="184"/>
      <c r="P51" s="20"/>
      <c r="Q51" s="20"/>
      <c r="R51" s="20"/>
      <c r="S51" s="20"/>
      <c r="T51" s="20"/>
      <c r="U51" s="20"/>
      <c r="V51" s="20"/>
      <c r="W51" s="20"/>
      <c r="X51" s="20"/>
      <c r="Y51" s="20"/>
      <c r="Z51" s="20"/>
    </row>
    <row r="52" spans="1:26" x14ac:dyDescent="0.25">
      <c r="A52" s="7">
        <v>8</v>
      </c>
      <c r="B52" t="s">
        <v>352</v>
      </c>
      <c r="D52" s="115">
        <v>0</v>
      </c>
      <c r="J52" s="20"/>
      <c r="K52" s="172" t="str">
        <f>'Characteristics &amp; Experience'!R89</f>
        <v>THE DARK BAT</v>
      </c>
      <c r="L52" s="128" t="s">
        <v>1242</v>
      </c>
      <c r="M52" s="184"/>
      <c r="N52" s="184"/>
      <c r="O52" s="184"/>
      <c r="P52" s="20"/>
      <c r="Q52" s="20"/>
      <c r="R52" s="20"/>
      <c r="S52" s="20"/>
      <c r="T52" s="20"/>
      <c r="U52" s="20"/>
      <c r="V52" s="20"/>
      <c r="W52" s="20"/>
      <c r="X52" s="20"/>
      <c r="Y52" s="20"/>
      <c r="Z52" s="20"/>
    </row>
    <row r="53" spans="1:26" x14ac:dyDescent="0.25">
      <c r="A53" s="7">
        <v>8</v>
      </c>
      <c r="B53" t="s">
        <v>353</v>
      </c>
      <c r="D53" s="115">
        <v>0</v>
      </c>
      <c r="J53" s="20"/>
      <c r="K53" s="172" t="str">
        <f>'Characteristics &amp; Experience'!R90</f>
        <v>THE GREAT BEAR ESCUS</v>
      </c>
      <c r="L53" s="128" t="s">
        <v>1228</v>
      </c>
      <c r="M53" s="184"/>
      <c r="N53" s="184"/>
      <c r="O53" s="184"/>
      <c r="P53" s="20"/>
      <c r="Q53" s="20"/>
      <c r="R53" s="20"/>
      <c r="S53" s="20"/>
      <c r="T53" s="20"/>
      <c r="U53" s="20"/>
      <c r="V53" s="20"/>
      <c r="W53" s="20"/>
      <c r="X53" s="20"/>
      <c r="Y53" s="20"/>
      <c r="Z53" s="20"/>
    </row>
    <row r="54" spans="1:26" x14ac:dyDescent="0.25">
      <c r="A54" s="7">
        <v>8</v>
      </c>
      <c r="B54" t="s">
        <v>354</v>
      </c>
      <c r="D54" s="115">
        <v>0</v>
      </c>
      <c r="J54" s="20"/>
      <c r="K54" s="172" t="str">
        <f>'Characteristics &amp; Experience'!R91</f>
        <v>THE GREAT BLACK BULL</v>
      </c>
      <c r="L54" s="128" t="s">
        <v>1242</v>
      </c>
      <c r="M54" s="184"/>
      <c r="N54" s="184"/>
      <c r="O54" s="184"/>
      <c r="P54" s="20"/>
      <c r="Q54" s="20"/>
      <c r="R54" s="20"/>
      <c r="S54" s="20"/>
      <c r="T54" s="20"/>
      <c r="U54" s="20"/>
      <c r="V54" s="20"/>
      <c r="W54" s="20"/>
      <c r="X54" s="20"/>
      <c r="Y54" s="20"/>
      <c r="Z54" s="20"/>
    </row>
    <row r="55" spans="1:26" x14ac:dyDescent="0.25">
      <c r="A55" s="7">
        <v>9</v>
      </c>
      <c r="B55" t="s">
        <v>355</v>
      </c>
      <c r="D55" s="115">
        <v>1</v>
      </c>
      <c r="J55" s="20"/>
      <c r="K55" s="172" t="str">
        <f>'Characteristics &amp; Experience'!R92</f>
        <v>THE GREAT BLACK GORILLA</v>
      </c>
      <c r="L55" s="301" t="s">
        <v>1248</v>
      </c>
      <c r="M55" s="184"/>
      <c r="N55" s="184"/>
      <c r="O55" s="184"/>
      <c r="P55" s="20"/>
      <c r="Q55" s="20"/>
      <c r="R55" s="20"/>
      <c r="S55" s="20"/>
      <c r="T55" s="20"/>
      <c r="U55" s="20"/>
      <c r="V55" s="20"/>
      <c r="W55" s="20"/>
      <c r="X55" s="20"/>
      <c r="Y55" s="20"/>
      <c r="Z55" s="20"/>
    </row>
    <row r="56" spans="1:26" x14ac:dyDescent="0.25">
      <c r="A56" s="7">
        <v>9</v>
      </c>
      <c r="B56" t="s">
        <v>356</v>
      </c>
      <c r="D56" s="115">
        <v>0</v>
      </c>
      <c r="J56" s="20"/>
      <c r="K56" s="172" t="str">
        <f>'Characteristics &amp; Experience'!R93</f>
        <v>THE GREAT BLACK CROCODILE</v>
      </c>
      <c r="L56" s="128" t="s">
        <v>1242</v>
      </c>
      <c r="M56" s="184"/>
      <c r="N56" s="184"/>
      <c r="O56" s="184"/>
      <c r="P56" s="20"/>
      <c r="Q56" s="20"/>
      <c r="R56" s="20"/>
      <c r="S56" s="20"/>
      <c r="T56" s="20"/>
      <c r="U56" s="20"/>
      <c r="V56" s="20"/>
      <c r="W56" s="20"/>
      <c r="X56" s="20"/>
      <c r="Y56" s="20"/>
      <c r="Z56" s="20"/>
    </row>
    <row r="57" spans="1:26" x14ac:dyDescent="0.25">
      <c r="A57" s="7">
        <v>9</v>
      </c>
      <c r="B57" t="s">
        <v>357</v>
      </c>
      <c r="D57" s="115">
        <v>0</v>
      </c>
      <c r="J57" s="20"/>
      <c r="K57" s="172" t="str">
        <f>'Characteristics &amp; Experience'!R94</f>
        <v>THE GREAT BLACK WOLF ALTIS</v>
      </c>
      <c r="L57" s="128" t="s">
        <v>1242</v>
      </c>
      <c r="M57" s="184"/>
      <c r="N57" s="184"/>
      <c r="O57" s="184"/>
      <c r="P57" s="20"/>
      <c r="Q57" s="20"/>
      <c r="R57" s="20"/>
      <c r="S57" s="20"/>
      <c r="T57" s="20"/>
      <c r="U57" s="20"/>
      <c r="V57" s="20"/>
      <c r="W57" s="20"/>
      <c r="X57" s="20"/>
      <c r="Y57" s="20"/>
      <c r="Z57" s="20"/>
    </row>
    <row r="58" spans="1:26" x14ac:dyDescent="0.25">
      <c r="A58" s="7">
        <v>9</v>
      </c>
      <c r="B58" t="s">
        <v>358</v>
      </c>
      <c r="D58" s="115">
        <v>1</v>
      </c>
      <c r="J58" s="20"/>
      <c r="K58" s="172" t="str">
        <f>'Characteristics &amp; Experience'!R95</f>
        <v>THE GREAT BOAR ESCUS</v>
      </c>
      <c r="L58" s="128" t="s">
        <v>1228</v>
      </c>
      <c r="M58" s="184"/>
      <c r="N58" s="184"/>
      <c r="O58" s="184"/>
      <c r="P58" s="20"/>
      <c r="Q58" s="20"/>
      <c r="R58" s="20"/>
      <c r="S58" s="20"/>
      <c r="T58" s="20"/>
      <c r="U58" s="20"/>
      <c r="V58" s="20"/>
      <c r="W58" s="20"/>
      <c r="X58" s="20"/>
      <c r="Y58" s="20"/>
      <c r="Z58" s="20"/>
    </row>
    <row r="59" spans="1:26" x14ac:dyDescent="0.25">
      <c r="A59" s="7">
        <v>9</v>
      </c>
      <c r="B59" t="s">
        <v>359</v>
      </c>
      <c r="D59" s="115">
        <v>0</v>
      </c>
      <c r="J59" s="20"/>
      <c r="K59" s="172" t="str">
        <f>'Characteristics &amp; Experience'!R96</f>
        <v>THE GREAT GOLDEN HEIFER</v>
      </c>
      <c r="L59" s="301" t="s">
        <v>1227</v>
      </c>
      <c r="M59" s="184"/>
      <c r="N59" s="184"/>
      <c r="O59" s="184"/>
      <c r="P59" s="20"/>
      <c r="Q59" s="20"/>
      <c r="R59" s="20"/>
      <c r="S59" s="20"/>
      <c r="T59" s="20"/>
      <c r="U59" s="20"/>
      <c r="V59" s="20"/>
      <c r="W59" s="20"/>
      <c r="X59" s="20"/>
      <c r="Y59" s="20"/>
      <c r="Z59" s="20"/>
    </row>
    <row r="60" spans="1:26" x14ac:dyDescent="0.25">
      <c r="A60" s="7">
        <v>9</v>
      </c>
      <c r="B60" t="s">
        <v>360</v>
      </c>
      <c r="D60" s="115">
        <v>0</v>
      </c>
      <c r="J60" s="20"/>
      <c r="K60" s="172" t="str">
        <f>'Characteristics &amp; Experience'!R97</f>
        <v>THE GREAT SOW IN THE MOON</v>
      </c>
      <c r="L60" s="128" t="s">
        <v>1239</v>
      </c>
      <c r="M60" s="184"/>
      <c r="N60" s="184"/>
      <c r="O60" s="184"/>
      <c r="P60" s="20"/>
      <c r="Q60" s="20"/>
      <c r="R60" s="20"/>
      <c r="S60" s="20"/>
      <c r="T60" s="20"/>
      <c r="U60" s="20"/>
      <c r="V60" s="20"/>
      <c r="W60" s="20"/>
      <c r="X60" s="20"/>
      <c r="Y60" s="20"/>
      <c r="Z60" s="20"/>
    </row>
    <row r="61" spans="1:26" x14ac:dyDescent="0.25">
      <c r="A61" s="7">
        <v>9</v>
      </c>
      <c r="B61" t="s">
        <v>361</v>
      </c>
      <c r="D61" s="115">
        <v>0</v>
      </c>
      <c r="J61" s="20"/>
      <c r="K61" s="172" t="str">
        <f>'Characteristics &amp; Experience'!R98</f>
        <v>THE GREAT WHITE BEAR</v>
      </c>
      <c r="L61" s="128" t="s">
        <v>1228</v>
      </c>
      <c r="M61" s="184"/>
      <c r="N61" s="184"/>
      <c r="O61" s="184"/>
      <c r="P61" s="20"/>
      <c r="Q61" s="20"/>
      <c r="R61" s="20"/>
      <c r="S61" s="20"/>
      <c r="T61" s="20"/>
      <c r="U61" s="20"/>
      <c r="V61" s="20"/>
      <c r="W61" s="20"/>
      <c r="X61" s="20"/>
      <c r="Y61" s="20"/>
      <c r="Z61" s="20"/>
    </row>
    <row r="62" spans="1:26" x14ac:dyDescent="0.25">
      <c r="A62" s="7">
        <v>9</v>
      </c>
      <c r="B62" t="s">
        <v>362</v>
      </c>
      <c r="D62" s="115">
        <v>0</v>
      </c>
      <c r="J62" s="20"/>
      <c r="K62" s="172" t="str">
        <f>'Characteristics &amp; Experience'!R99</f>
        <v>THE GREAT WHITE BULL / BUFFALO / HEIFER</v>
      </c>
      <c r="L62" s="128" t="s">
        <v>1228</v>
      </c>
      <c r="M62" s="184" t="s">
        <v>1391</v>
      </c>
      <c r="N62" s="184"/>
      <c r="O62" s="184"/>
      <c r="P62" s="20"/>
      <c r="Q62" s="20"/>
      <c r="R62" s="20"/>
      <c r="S62" s="20"/>
      <c r="T62" s="20"/>
      <c r="U62" s="20"/>
      <c r="V62" s="20"/>
      <c r="W62" s="20"/>
      <c r="X62" s="20"/>
      <c r="Y62" s="20"/>
      <c r="Z62" s="20"/>
    </row>
    <row r="63" spans="1:26" x14ac:dyDescent="0.25">
      <c r="A63" s="7">
        <v>10</v>
      </c>
      <c r="B63" t="s">
        <v>363</v>
      </c>
      <c r="D63" s="115">
        <v>1</v>
      </c>
      <c r="J63" s="20"/>
      <c r="K63" s="172" t="str">
        <f>'Characteristics &amp; Experience'!R100</f>
        <v>THE GREAT WHITE COYOTE</v>
      </c>
      <c r="L63" s="128" t="s">
        <v>1228</v>
      </c>
      <c r="M63" s="184"/>
      <c r="N63" s="184"/>
      <c r="O63" s="184"/>
      <c r="P63" s="20"/>
      <c r="Q63" s="20"/>
      <c r="R63" s="20"/>
      <c r="S63" s="20"/>
      <c r="T63" s="20"/>
      <c r="U63" s="20"/>
      <c r="V63" s="20"/>
      <c r="W63" s="20"/>
      <c r="X63" s="20"/>
      <c r="Y63" s="20"/>
      <c r="Z63" s="20"/>
    </row>
    <row r="64" spans="1:26" x14ac:dyDescent="0.25">
      <c r="A64" s="7">
        <v>10</v>
      </c>
      <c r="B64" t="s">
        <v>364</v>
      </c>
      <c r="D64" s="115">
        <v>0</v>
      </c>
      <c r="J64" s="20"/>
      <c r="K64" s="172" t="str">
        <f>'Characteristics &amp; Experience'!R101</f>
        <v>THE GREAT WHITE WOLF</v>
      </c>
      <c r="L64" s="128" t="s">
        <v>1228</v>
      </c>
      <c r="M64" s="184"/>
      <c r="N64" s="184"/>
      <c r="O64" s="184"/>
      <c r="P64" s="20"/>
      <c r="Q64" s="20"/>
      <c r="R64" s="20"/>
      <c r="S64" s="20"/>
      <c r="T64" s="20"/>
      <c r="U64" s="20"/>
      <c r="V64" s="20"/>
      <c r="W64" s="20"/>
      <c r="X64" s="20"/>
      <c r="Y64" s="20"/>
      <c r="Z64" s="20"/>
    </row>
    <row r="65" spans="1:26" x14ac:dyDescent="0.25">
      <c r="A65" s="7">
        <v>10</v>
      </c>
      <c r="B65" t="s">
        <v>365</v>
      </c>
      <c r="D65" s="115">
        <v>0</v>
      </c>
      <c r="J65" s="20"/>
      <c r="K65" s="172" t="str">
        <f>'Characteristics &amp; Experience'!R102</f>
        <v>THE GREAT WISE OWL</v>
      </c>
      <c r="L65" s="128" t="s">
        <v>1023</v>
      </c>
      <c r="M65" s="184"/>
      <c r="N65" s="184"/>
      <c r="O65" s="184"/>
      <c r="P65" s="20"/>
      <c r="Q65" s="20"/>
      <c r="R65" s="20"/>
      <c r="S65" s="20"/>
      <c r="T65" s="20"/>
      <c r="U65" s="20"/>
      <c r="V65" s="20"/>
      <c r="W65" s="20"/>
      <c r="X65" s="20"/>
      <c r="Y65" s="20"/>
      <c r="Z65" s="20"/>
    </row>
    <row r="66" spans="1:26" x14ac:dyDescent="0.25">
      <c r="A66" s="7">
        <v>10</v>
      </c>
      <c r="B66" t="s">
        <v>366</v>
      </c>
      <c r="D66" s="115">
        <v>1</v>
      </c>
      <c r="J66" s="20"/>
      <c r="K66" s="172" t="str">
        <f>'Characteristics &amp; Experience'!R103</f>
        <v>THE HORNED RIDER</v>
      </c>
      <c r="L66" s="128" t="s">
        <v>1248</v>
      </c>
      <c r="M66" s="184"/>
      <c r="N66" s="184"/>
      <c r="O66" s="184"/>
      <c r="P66" s="20"/>
      <c r="Q66" s="20"/>
      <c r="R66" s="20"/>
      <c r="S66" s="20"/>
      <c r="T66" s="20"/>
      <c r="U66" s="20"/>
      <c r="V66" s="20"/>
      <c r="W66" s="20"/>
      <c r="X66" s="20"/>
      <c r="Y66" s="20"/>
      <c r="Z66" s="20"/>
    </row>
    <row r="67" spans="1:26" x14ac:dyDescent="0.25">
      <c r="A67" s="7">
        <v>10</v>
      </c>
      <c r="B67" t="s">
        <v>367</v>
      </c>
      <c r="D67" s="115">
        <v>0</v>
      </c>
      <c r="J67" s="20"/>
      <c r="K67" s="172" t="str">
        <f>'Characteristics &amp; Experience'!R104</f>
        <v>THE LORD OF VAMPIRES</v>
      </c>
      <c r="L67" s="301" t="s">
        <v>1246</v>
      </c>
      <c r="M67" s="184"/>
      <c r="N67" s="184"/>
      <c r="O67" s="184"/>
      <c r="P67" s="20"/>
      <c r="Q67" s="20"/>
      <c r="R67" s="20"/>
      <c r="S67" s="20"/>
      <c r="T67" s="20"/>
      <c r="U67" s="20"/>
      <c r="V67" s="20"/>
      <c r="W67" s="20"/>
      <c r="X67" s="20"/>
      <c r="Y67" s="20"/>
      <c r="Z67" s="20"/>
    </row>
    <row r="68" spans="1:26" x14ac:dyDescent="0.25">
      <c r="A68" s="7">
        <v>10</v>
      </c>
      <c r="B68" t="s">
        <v>368</v>
      </c>
      <c r="D68" s="115">
        <v>0</v>
      </c>
      <c r="J68" s="20"/>
      <c r="K68" s="172" t="str">
        <f>'Characteristics &amp; Experience'!R105</f>
        <v>THE RED SCORPION</v>
      </c>
      <c r="L68" s="128" t="s">
        <v>1243</v>
      </c>
      <c r="M68" s="184"/>
      <c r="N68" s="184"/>
      <c r="O68" s="184"/>
      <c r="P68" s="20"/>
      <c r="Q68" s="20"/>
      <c r="R68" s="20"/>
      <c r="S68" s="20"/>
      <c r="T68" s="20"/>
      <c r="U68" s="20"/>
      <c r="V68" s="20"/>
      <c r="W68" s="20"/>
      <c r="X68" s="20"/>
      <c r="Y68" s="20"/>
      <c r="Z68" s="20"/>
    </row>
    <row r="69" spans="1:26" x14ac:dyDescent="0.25">
      <c r="A69" s="7">
        <v>11</v>
      </c>
      <c r="B69" t="s">
        <v>369</v>
      </c>
      <c r="D69" s="115">
        <v>0</v>
      </c>
      <c r="J69" s="20"/>
      <c r="K69" s="172" t="str">
        <f>'Characteristics &amp; Experience'!R106</f>
        <v>THE WALKER IN THE FOREST</v>
      </c>
      <c r="L69" s="128" t="s">
        <v>1023</v>
      </c>
      <c r="M69" s="184"/>
      <c r="N69" s="184"/>
      <c r="O69" s="184"/>
      <c r="P69" s="20"/>
      <c r="Q69" s="20"/>
      <c r="R69" s="20"/>
      <c r="S69" s="20"/>
      <c r="T69" s="20"/>
      <c r="U69" s="20"/>
      <c r="V69" s="20"/>
      <c r="W69" s="20"/>
      <c r="X69" s="20"/>
      <c r="Y69" s="20"/>
      <c r="Z69" s="20"/>
    </row>
    <row r="70" spans="1:26" x14ac:dyDescent="0.25">
      <c r="A70" s="7">
        <v>12</v>
      </c>
      <c r="B70" t="s">
        <v>370</v>
      </c>
      <c r="D70" s="115">
        <v>0</v>
      </c>
      <c r="J70" s="20"/>
      <c r="K70" s="172" t="str">
        <f>'Characteristics &amp; Experience'!R107</f>
        <v>THE WHITE STAG</v>
      </c>
      <c r="L70" s="128" t="s">
        <v>1232</v>
      </c>
      <c r="M70" s="184"/>
      <c r="N70" s="184"/>
      <c r="O70" s="184"/>
      <c r="P70" s="20"/>
      <c r="Q70" s="20"/>
      <c r="R70" s="20"/>
      <c r="S70" s="20"/>
      <c r="T70" s="20"/>
      <c r="U70" s="20"/>
      <c r="V70" s="20"/>
      <c r="W70" s="20"/>
      <c r="X70" s="20"/>
      <c r="Y70" s="20"/>
      <c r="Z70" s="20"/>
    </row>
    <row r="71" spans="1:26" x14ac:dyDescent="0.25">
      <c r="A71" s="7">
        <v>12</v>
      </c>
      <c r="B71" t="s">
        <v>371</v>
      </c>
      <c r="D71" s="115">
        <v>0</v>
      </c>
      <c r="J71" s="20"/>
      <c r="K71" s="172" t="str">
        <f>'Characteristics &amp; Experience'!R108</f>
        <v>TIPRE</v>
      </c>
      <c r="L71" s="128" t="str">
        <f>K71</f>
        <v>TIPRE</v>
      </c>
      <c r="M71" s="184" t="s">
        <v>1310</v>
      </c>
      <c r="N71" s="184"/>
      <c r="O71" s="184"/>
      <c r="P71" s="20"/>
      <c r="Q71" s="20"/>
      <c r="R71" s="20"/>
      <c r="S71" s="20"/>
      <c r="T71" s="20"/>
      <c r="U71" s="20"/>
      <c r="V71" s="20"/>
      <c r="W71" s="20"/>
      <c r="X71" s="20"/>
      <c r="Y71" s="20"/>
      <c r="Z71" s="20"/>
    </row>
    <row r="72" spans="1:26" x14ac:dyDescent="0.25">
      <c r="A72" s="7">
        <v>13</v>
      </c>
      <c r="B72" t="s">
        <v>372</v>
      </c>
      <c r="D72" s="115">
        <v>0</v>
      </c>
      <c r="J72" s="20"/>
      <c r="K72" s="172" t="str">
        <f>'Characteristics &amp; Experience'!R109</f>
        <v>UFFEH</v>
      </c>
      <c r="L72" s="128" t="s">
        <v>1023</v>
      </c>
      <c r="M72" s="184"/>
      <c r="N72" s="184"/>
      <c r="O72" s="184"/>
      <c r="P72" s="20"/>
      <c r="Q72" s="20"/>
      <c r="R72" s="20"/>
      <c r="S72" s="20"/>
      <c r="T72" s="20"/>
      <c r="U72" s="20"/>
      <c r="V72" s="20"/>
      <c r="W72" s="20"/>
      <c r="X72" s="20"/>
      <c r="Y72" s="20"/>
      <c r="Z72" s="20"/>
    </row>
    <row r="73" spans="1:26" x14ac:dyDescent="0.25">
      <c r="A73" s="7">
        <v>13</v>
      </c>
      <c r="B73" t="s">
        <v>373</v>
      </c>
      <c r="D73" s="115">
        <v>0</v>
      </c>
      <c r="J73" s="20"/>
      <c r="K73" s="172" t="str">
        <f>'Characteristics &amp; Experience'!R110</f>
        <v>ULULO</v>
      </c>
      <c r="L73" s="128" t="s">
        <v>1237</v>
      </c>
      <c r="M73" s="184"/>
      <c r="N73" s="184"/>
      <c r="O73" s="184"/>
      <c r="P73" s="20"/>
      <c r="Q73" s="20"/>
      <c r="R73" s="20"/>
      <c r="S73" s="20"/>
      <c r="T73" s="20"/>
      <c r="U73" s="20"/>
      <c r="V73" s="20"/>
      <c r="W73" s="20"/>
      <c r="X73" s="20"/>
      <c r="Y73" s="20"/>
      <c r="Z73" s="20"/>
    </row>
    <row r="74" spans="1:26" x14ac:dyDescent="0.25">
      <c r="A74" s="7">
        <v>13</v>
      </c>
      <c r="B74" t="s">
        <v>374</v>
      </c>
      <c r="D74" s="115">
        <v>0</v>
      </c>
      <c r="J74" s="20"/>
      <c r="K74" s="172" t="str">
        <f>'Characteristics &amp; Experience'!R111</f>
        <v>UMBOR</v>
      </c>
      <c r="L74" s="128" t="s">
        <v>1023</v>
      </c>
      <c r="M74" s="184"/>
      <c r="N74" s="184"/>
      <c r="O74" s="184"/>
      <c r="P74" s="20"/>
      <c r="Q74" s="20"/>
      <c r="R74" s="20"/>
      <c r="S74" s="20"/>
      <c r="T74" s="20"/>
      <c r="U74" s="20"/>
      <c r="V74" s="20"/>
      <c r="W74" s="20"/>
      <c r="X74" s="20"/>
      <c r="Y74" s="20"/>
      <c r="Z74" s="20"/>
    </row>
    <row r="75" spans="1:26" x14ac:dyDescent="0.25">
      <c r="A75" s="7">
        <v>14</v>
      </c>
      <c r="B75" t="s">
        <v>375</v>
      </c>
      <c r="D75" s="115">
        <v>0</v>
      </c>
      <c r="J75" s="20"/>
      <c r="K75" s="172" t="str">
        <f>'Characteristics &amp; Experience'!R112</f>
        <v>UNGOL</v>
      </c>
      <c r="L75" s="128" t="s">
        <v>1244</v>
      </c>
      <c r="M75" s="184"/>
      <c r="N75" s="184"/>
      <c r="O75" s="184"/>
      <c r="P75" s="20"/>
      <c r="Q75" s="20"/>
      <c r="R75" s="20"/>
      <c r="S75" s="20"/>
      <c r="T75" s="20"/>
      <c r="U75" s="20"/>
      <c r="V75" s="20"/>
      <c r="W75" s="20"/>
      <c r="X75" s="20"/>
      <c r="Y75" s="20"/>
      <c r="Z75" s="20"/>
    </row>
    <row r="76" spans="1:26" x14ac:dyDescent="0.25">
      <c r="A76" s="7">
        <v>14</v>
      </c>
      <c r="B76" t="s">
        <v>376</v>
      </c>
      <c r="D76" s="115">
        <v>0</v>
      </c>
      <c r="J76" s="20"/>
      <c r="K76" s="172" t="str">
        <f>'Characteristics &amp; Experience'!R113</f>
        <v>URIEL</v>
      </c>
      <c r="L76" s="128" t="s">
        <v>1242</v>
      </c>
      <c r="M76" s="184"/>
      <c r="N76" s="184"/>
      <c r="O76" s="184"/>
      <c r="P76" s="20"/>
      <c r="Q76" s="20"/>
      <c r="R76" s="20"/>
      <c r="S76" s="20"/>
      <c r="T76" s="20"/>
      <c r="U76" s="20"/>
      <c r="V76" s="20"/>
      <c r="W76" s="20"/>
      <c r="X76" s="20"/>
      <c r="Y76" s="20"/>
      <c r="Z76" s="20"/>
    </row>
    <row r="77" spans="1:26" x14ac:dyDescent="0.25">
      <c r="A77" s="7">
        <v>14</v>
      </c>
      <c r="B77" t="s">
        <v>377</v>
      </c>
      <c r="D77" s="115">
        <v>0</v>
      </c>
      <c r="J77" s="20"/>
      <c r="K77" s="172" t="str">
        <f>'Characteristics &amp; Experience'!R114</f>
        <v>URSO</v>
      </c>
      <c r="L77" s="128" t="s">
        <v>1235</v>
      </c>
      <c r="M77" s="184"/>
      <c r="N77" s="184"/>
      <c r="O77" s="184"/>
      <c r="P77" s="20"/>
      <c r="Q77" s="20"/>
      <c r="R77" s="20"/>
      <c r="S77" s="20"/>
      <c r="T77" s="20"/>
      <c r="U77" s="20"/>
      <c r="V77" s="20"/>
      <c r="W77" s="20"/>
      <c r="X77" s="20"/>
      <c r="Y77" s="20"/>
      <c r="Z77" s="20"/>
    </row>
    <row r="78" spans="1:26" x14ac:dyDescent="0.25">
      <c r="A78" s="7">
        <v>14</v>
      </c>
      <c r="B78" t="s">
        <v>378</v>
      </c>
      <c r="D78" s="115">
        <v>0</v>
      </c>
      <c r="J78" s="20"/>
      <c r="K78" s="172" t="str">
        <f>'Characteristics &amp; Experience'!R115</f>
        <v>VIXEW</v>
      </c>
      <c r="L78" s="128" t="s">
        <v>1023</v>
      </c>
      <c r="M78" s="184"/>
      <c r="N78" s="184"/>
      <c r="O78" s="184"/>
      <c r="P78" s="20"/>
      <c r="Q78" s="20"/>
      <c r="R78" s="20"/>
      <c r="S78" s="20"/>
      <c r="T78" s="20"/>
      <c r="U78" s="20"/>
      <c r="V78" s="20"/>
      <c r="W78" s="20"/>
      <c r="X78" s="20"/>
      <c r="Y78" s="20"/>
      <c r="Z78" s="20"/>
    </row>
    <row r="79" spans="1:26" x14ac:dyDescent="0.25">
      <c r="A79" s="7">
        <v>15</v>
      </c>
      <c r="B79" t="s">
        <v>379</v>
      </c>
      <c r="D79" s="115">
        <v>0</v>
      </c>
      <c r="J79" s="20"/>
      <c r="K79" s="172" t="str">
        <f>'Characteristics &amp; Experience'!R116</f>
        <v>VULTURO</v>
      </c>
      <c r="L79" s="128" t="s">
        <v>1248</v>
      </c>
      <c r="M79" s="184"/>
      <c r="N79" s="184"/>
      <c r="O79" s="184"/>
      <c r="P79" s="20"/>
      <c r="Q79" s="20"/>
      <c r="R79" s="20"/>
      <c r="S79" s="20"/>
      <c r="T79" s="20"/>
      <c r="U79" s="20"/>
      <c r="V79" s="20"/>
      <c r="W79" s="20"/>
      <c r="X79" s="20"/>
      <c r="Y79" s="20"/>
      <c r="Z79" s="20"/>
    </row>
    <row r="80" spans="1:26" x14ac:dyDescent="0.25">
      <c r="A80" s="7">
        <v>15</v>
      </c>
      <c r="B80" t="s">
        <v>380</v>
      </c>
      <c r="D80" s="115">
        <v>0</v>
      </c>
      <c r="J80" s="20"/>
      <c r="K80" s="172" t="str">
        <f>'Characteristics &amp; Experience'!R117</f>
        <v>WACON</v>
      </c>
      <c r="L80" s="128" t="str">
        <f>K80</f>
        <v>WACON</v>
      </c>
      <c r="M80" s="184" t="s">
        <v>1309</v>
      </c>
      <c r="N80" s="184"/>
      <c r="O80" s="184"/>
      <c r="P80" s="20"/>
      <c r="Q80" s="20"/>
      <c r="R80" s="20"/>
      <c r="S80" s="20"/>
      <c r="T80" s="20"/>
      <c r="U80" s="20"/>
      <c r="V80" s="20"/>
      <c r="W80" s="20"/>
      <c r="X80" s="20"/>
      <c r="Y80" s="20"/>
      <c r="Z80" s="20"/>
    </row>
    <row r="81" spans="1:26" x14ac:dyDescent="0.25">
      <c r="A81" s="7">
        <v>16</v>
      </c>
      <c r="B81" t="s">
        <v>381</v>
      </c>
      <c r="D81" s="115">
        <v>0</v>
      </c>
      <c r="J81" s="20"/>
      <c r="K81" s="172" t="str">
        <f>'Characteristics &amp; Experience'!R118</f>
        <v>WAGREN</v>
      </c>
      <c r="L81" s="128" t="str">
        <f>K81</f>
        <v>WAGREN</v>
      </c>
      <c r="M81" s="184" t="s">
        <v>1312</v>
      </c>
      <c r="N81" s="184"/>
      <c r="O81" s="184"/>
      <c r="P81" s="20"/>
      <c r="Q81" s="20"/>
      <c r="R81" s="20"/>
      <c r="S81" s="20"/>
      <c r="T81" s="20"/>
      <c r="U81" s="20"/>
      <c r="V81" s="20"/>
      <c r="W81" s="20"/>
      <c r="X81" s="20"/>
      <c r="Y81" s="20"/>
      <c r="Z81" s="20"/>
    </row>
    <row r="82" spans="1:26" x14ac:dyDescent="0.25">
      <c r="A82" s="7">
        <v>16</v>
      </c>
      <c r="B82" t="s">
        <v>382</v>
      </c>
      <c r="D82" s="115">
        <v>0</v>
      </c>
      <c r="J82" s="20"/>
      <c r="K82" s="172" t="str">
        <f>'Characteristics &amp; Experience'!R119</f>
        <v>XAXIX</v>
      </c>
      <c r="L82" s="128" t="s">
        <v>1023</v>
      </c>
      <c r="M82" s="184"/>
      <c r="N82" s="184"/>
      <c r="O82" s="184"/>
      <c r="P82" s="20"/>
      <c r="Q82" s="20"/>
      <c r="R82" s="20"/>
      <c r="S82" s="20"/>
      <c r="T82" s="20"/>
      <c r="U82" s="20"/>
      <c r="V82" s="20"/>
      <c r="W82" s="20"/>
      <c r="X82" s="20"/>
      <c r="Y82" s="20"/>
      <c r="Z82" s="20"/>
    </row>
    <row r="83" spans="1:26" x14ac:dyDescent="0.25">
      <c r="A83" s="7">
        <v>16</v>
      </c>
      <c r="B83" t="s">
        <v>383</v>
      </c>
      <c r="D83" s="115">
        <v>0</v>
      </c>
      <c r="J83" s="20"/>
      <c r="K83" s="172" t="str">
        <f>'Characteristics &amp; Experience'!R120</f>
        <v>XSARA</v>
      </c>
      <c r="L83" s="128" t="s">
        <v>1237</v>
      </c>
      <c r="M83" s="184"/>
      <c r="N83" s="184"/>
      <c r="O83" s="184"/>
      <c r="P83" s="20"/>
      <c r="Q83" s="20"/>
      <c r="R83" s="20"/>
      <c r="S83" s="20"/>
      <c r="T83" s="20"/>
      <c r="U83" s="20"/>
      <c r="V83" s="20"/>
      <c r="W83" s="20"/>
      <c r="X83" s="20"/>
      <c r="Y83" s="20"/>
      <c r="Z83" s="20"/>
    </row>
    <row r="84" spans="1:26" x14ac:dyDescent="0.25">
      <c r="A84" s="7">
        <v>17</v>
      </c>
      <c r="B84" t="s">
        <v>384</v>
      </c>
      <c r="D84" s="115">
        <v>0</v>
      </c>
      <c r="J84" s="20"/>
      <c r="K84" s="172" t="str">
        <f>'Characteristics &amp; Experience'!R121</f>
        <v>YELLIP</v>
      </c>
      <c r="L84" s="128" t="s">
        <v>1023</v>
      </c>
      <c r="M84" s="184"/>
      <c r="N84" s="184"/>
      <c r="O84" s="184"/>
      <c r="P84" s="20"/>
      <c r="Q84" s="20"/>
      <c r="R84" s="20"/>
      <c r="S84" s="20"/>
      <c r="T84" s="20"/>
      <c r="U84" s="20"/>
      <c r="V84" s="20"/>
      <c r="W84" s="20"/>
      <c r="X84" s="20"/>
      <c r="Y84" s="20"/>
      <c r="Z84" s="20"/>
    </row>
    <row r="85" spans="1:26" x14ac:dyDescent="0.25">
      <c r="A85" s="7">
        <v>20</v>
      </c>
      <c r="B85" t="s">
        <v>385</v>
      </c>
      <c r="D85" s="115">
        <v>0</v>
      </c>
      <c r="J85" s="20"/>
      <c r="K85" s="172" t="str">
        <f>'Characteristics &amp; Experience'!R122</f>
        <v>YSSA</v>
      </c>
      <c r="L85" s="128" t="s">
        <v>1248</v>
      </c>
      <c r="M85" s="184"/>
      <c r="N85" s="184"/>
      <c r="O85" s="184"/>
      <c r="P85" s="20"/>
      <c r="Q85" s="20"/>
      <c r="R85" s="20"/>
      <c r="S85" s="20"/>
      <c r="T85" s="20"/>
      <c r="U85" s="20"/>
      <c r="V85" s="20"/>
      <c r="W85" s="20"/>
      <c r="X85" s="20"/>
      <c r="Y85" s="20"/>
      <c r="Z85" s="20"/>
    </row>
    <row r="86" spans="1:26" x14ac:dyDescent="0.25">
      <c r="A86">
        <v>18</v>
      </c>
      <c r="B86" t="s">
        <v>386</v>
      </c>
      <c r="D86" s="115">
        <v>0</v>
      </c>
      <c r="J86" s="20"/>
      <c r="K86" s="172" t="str">
        <f>'Characteristics &amp; Experience'!R123</f>
        <v>YWHRC</v>
      </c>
      <c r="L86" s="128" t="s">
        <v>1248</v>
      </c>
      <c r="M86" s="184"/>
      <c r="N86" s="184"/>
      <c r="O86" s="184"/>
      <c r="P86" s="20"/>
      <c r="Q86" s="20"/>
      <c r="R86" s="20"/>
      <c r="S86" s="20"/>
      <c r="T86" s="20"/>
      <c r="U86" s="20"/>
      <c r="V86" s="20"/>
      <c r="W86" s="20"/>
      <c r="X86" s="20"/>
      <c r="Y86" s="20"/>
      <c r="Z86" s="20"/>
    </row>
    <row r="87" spans="1:26" x14ac:dyDescent="0.25">
      <c r="A87" s="7">
        <v>35</v>
      </c>
      <c r="B87" t="s">
        <v>387</v>
      </c>
      <c r="D87" s="115">
        <v>0</v>
      </c>
      <c r="J87" s="20"/>
      <c r="K87" s="172" t="str">
        <f>'Characteristics &amp; Experience'!R124</f>
        <v>ZAKEL</v>
      </c>
      <c r="L87" s="128" t="s">
        <v>1249</v>
      </c>
      <c r="M87" s="184"/>
      <c r="N87" s="184"/>
      <c r="O87" s="184"/>
      <c r="P87" s="20"/>
      <c r="Q87" s="20"/>
      <c r="R87" s="20"/>
      <c r="S87" s="20"/>
      <c r="T87" s="20"/>
      <c r="U87" s="20"/>
      <c r="V87" s="20"/>
      <c r="W87" s="20"/>
      <c r="X87" s="20"/>
      <c r="Y87" s="20"/>
      <c r="Z87" s="20"/>
    </row>
    <row r="88" spans="1:26" x14ac:dyDescent="0.25">
      <c r="D88" s="8"/>
      <c r="J88" s="20"/>
      <c r="K88" s="172"/>
      <c r="L88" s="128"/>
      <c r="M88" s="184"/>
      <c r="N88" s="184"/>
      <c r="O88" s="184"/>
      <c r="P88" s="20"/>
      <c r="Q88" s="20"/>
      <c r="R88" s="20"/>
      <c r="S88" s="20"/>
      <c r="T88" s="20"/>
      <c r="U88" s="20"/>
      <c r="V88" s="20"/>
      <c r="W88" s="20"/>
      <c r="X88" s="20"/>
      <c r="Y88" s="20"/>
      <c r="Z88" s="20"/>
    </row>
    <row r="89" spans="1:26" x14ac:dyDescent="0.25">
      <c r="C89" s="3" t="s">
        <v>388</v>
      </c>
      <c r="D89" s="7">
        <f>SUM(D11:D87)</f>
        <v>16</v>
      </c>
      <c r="J89" s="20"/>
      <c r="K89" s="172"/>
      <c r="L89" s="128"/>
      <c r="M89" s="184"/>
      <c r="N89" s="184"/>
      <c r="O89" s="184"/>
      <c r="P89" s="20"/>
      <c r="Q89" s="20"/>
      <c r="R89" s="20"/>
      <c r="S89" s="20"/>
      <c r="T89" s="20"/>
      <c r="U89" s="20"/>
      <c r="V89" s="20"/>
      <c r="W89" s="20"/>
      <c r="X89" s="20"/>
      <c r="Y89" s="20"/>
      <c r="Z89" s="20"/>
    </row>
    <row r="90" spans="1:26" x14ac:dyDescent="0.25">
      <c r="C90" s="3" t="s">
        <v>389</v>
      </c>
      <c r="D90">
        <f>D89/2</f>
        <v>8</v>
      </c>
      <c r="J90" s="20"/>
      <c r="K90" s="20"/>
      <c r="L90" s="20"/>
      <c r="M90" s="20"/>
      <c r="N90" s="20"/>
      <c r="O90" s="20"/>
      <c r="P90" s="20"/>
      <c r="Q90" s="20"/>
      <c r="R90" s="20"/>
      <c r="S90" s="20"/>
      <c r="T90" s="20"/>
      <c r="U90" s="20"/>
      <c r="V90" s="20"/>
      <c r="W90" s="20"/>
      <c r="X90" s="20"/>
      <c r="Y90" s="20"/>
      <c r="Z90" s="20"/>
    </row>
    <row r="91" spans="1:26" x14ac:dyDescent="0.25">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x14ac:dyDescent="0.25">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x14ac:dyDescent="0.25">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x14ac:dyDescent="0.25">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x14ac:dyDescent="0.25">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sheetData>
  <dataValidations count="1">
    <dataValidation type="list" allowBlank="1" showInputMessage="1" showErrorMessage="1" sqref="D11:D87" xr:uid="{00000000-0002-0000-0400-000000000000}">
      <formula1>"0,1"</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76169-3D23-4689-B98D-4839B02FF093}">
  <dimension ref="A1:Z137"/>
  <sheetViews>
    <sheetView topLeftCell="A10" workbookViewId="0">
      <selection activeCell="L17" sqref="L17"/>
    </sheetView>
  </sheetViews>
  <sheetFormatPr defaultRowHeight="15.75" x14ac:dyDescent="0.25"/>
  <cols>
    <col min="1" max="1" width="7.375" customWidth="1"/>
    <col min="2" max="2" width="20.625" customWidth="1"/>
    <col min="3" max="3" width="10.25" bestFit="1" customWidth="1"/>
    <col min="4" max="4" width="12" bestFit="1" customWidth="1"/>
    <col min="5" max="5" width="5.875" bestFit="1" customWidth="1"/>
    <col min="6" max="6" width="5.25" bestFit="1" customWidth="1"/>
    <col min="7" max="7" width="15.625" bestFit="1" customWidth="1"/>
    <col min="8" max="8" width="11.375" bestFit="1" customWidth="1"/>
    <col min="10" max="10" width="20.625" bestFit="1" customWidth="1"/>
    <col min="11" max="11" width="18.125" bestFit="1" customWidth="1"/>
    <col min="12" max="12" width="24.75" bestFit="1" customWidth="1"/>
    <col min="13" max="13" width="43.5" bestFit="1" customWidth="1"/>
    <col min="14" max="14" width="7.25" bestFit="1" customWidth="1"/>
    <col min="15" max="15" width="26.625" bestFit="1" customWidth="1"/>
  </cols>
  <sheetData>
    <row r="1" spans="1:26" x14ac:dyDescent="0.25">
      <c r="A1" s="93" t="str">
        <f>Name</f>
        <v>Name</v>
      </c>
      <c r="C1" s="7" t="s">
        <v>45</v>
      </c>
      <c r="D1" t="str">
        <f>Date</f>
        <v>26 XIV 2505</v>
      </c>
      <c r="H1" s="4"/>
      <c r="I1" s="20"/>
      <c r="J1" s="21" t="s">
        <v>1029</v>
      </c>
      <c r="K1" s="21"/>
      <c r="L1" s="21" t="s">
        <v>1030</v>
      </c>
      <c r="M1" s="21" t="s">
        <v>1031</v>
      </c>
      <c r="N1" s="20"/>
      <c r="O1" s="21" t="s">
        <v>1032</v>
      </c>
      <c r="P1" s="20"/>
      <c r="Q1" s="20"/>
      <c r="R1" s="20"/>
      <c r="S1" s="20"/>
      <c r="T1" s="20"/>
      <c r="U1" s="20"/>
      <c r="V1" s="20"/>
      <c r="W1" s="20"/>
      <c r="X1" s="20"/>
      <c r="Y1" s="20"/>
      <c r="Z1" s="20"/>
    </row>
    <row r="2" spans="1:26" x14ac:dyDescent="0.25">
      <c r="A2" s="3"/>
      <c r="B2" s="7"/>
      <c r="H2" s="4"/>
      <c r="I2" s="20"/>
      <c r="J2" s="20" t="s">
        <v>1320</v>
      </c>
      <c r="K2" s="20" t="s">
        <v>1034</v>
      </c>
      <c r="L2" s="20" t="s">
        <v>1035</v>
      </c>
      <c r="M2" s="20" t="s">
        <v>1103</v>
      </c>
      <c r="N2" s="20" t="s">
        <v>1128</v>
      </c>
      <c r="O2" s="20" t="s">
        <v>1206</v>
      </c>
      <c r="P2" s="20"/>
      <c r="Q2" s="20"/>
      <c r="R2" s="20"/>
      <c r="S2" s="20"/>
      <c r="T2" s="20"/>
      <c r="U2" s="20"/>
      <c r="V2" s="20"/>
      <c r="W2" s="20"/>
      <c r="X2" s="20"/>
      <c r="Y2" s="20"/>
      <c r="Z2" s="20"/>
    </row>
    <row r="3" spans="1:26" x14ac:dyDescent="0.25">
      <c r="A3" s="302" t="s">
        <v>402</v>
      </c>
      <c r="B3" s="302"/>
      <c r="G3" s="5" t="s">
        <v>403</v>
      </c>
      <c r="H3" s="1">
        <f>DrL</f>
        <v>2.2999999999999998</v>
      </c>
      <c r="I3" s="20"/>
      <c r="J3" s="20" t="s">
        <v>1321</v>
      </c>
      <c r="K3" s="20"/>
      <c r="L3" s="20" t="s">
        <v>1036</v>
      </c>
      <c r="M3" s="20" t="s">
        <v>1104</v>
      </c>
      <c r="N3" s="20"/>
      <c r="O3" s="20" t="s">
        <v>1291</v>
      </c>
      <c r="P3" s="20"/>
      <c r="Q3" s="20"/>
      <c r="R3" s="20"/>
      <c r="S3" s="20"/>
      <c r="T3" s="20"/>
      <c r="U3" s="20"/>
      <c r="V3" s="20"/>
      <c r="W3" s="20"/>
      <c r="X3" s="20"/>
      <c r="Y3" s="20"/>
      <c r="Z3" s="20"/>
    </row>
    <row r="4" spans="1:26" x14ac:dyDescent="0.25">
      <c r="A4" s="2"/>
      <c r="G4" s="5"/>
      <c r="H4" s="1"/>
      <c r="I4" s="20"/>
      <c r="J4" s="20" t="s">
        <v>1322</v>
      </c>
      <c r="K4" s="20"/>
      <c r="L4" s="20" t="s">
        <v>1037</v>
      </c>
      <c r="M4" s="20" t="s">
        <v>1105</v>
      </c>
      <c r="N4" s="20"/>
      <c r="O4" s="20" t="s">
        <v>1399</v>
      </c>
      <c r="P4" s="20"/>
      <c r="Q4" s="20"/>
      <c r="R4" s="20"/>
      <c r="S4" s="20"/>
      <c r="T4" s="20"/>
      <c r="U4" s="20"/>
      <c r="V4" s="20"/>
      <c r="W4" s="20"/>
      <c r="X4" s="20"/>
      <c r="Y4" s="20"/>
      <c r="Z4" s="20"/>
    </row>
    <row r="5" spans="1:26" x14ac:dyDescent="0.25">
      <c r="A5" s="193" t="s">
        <v>1025</v>
      </c>
      <c r="B5" s="225" t="s">
        <v>1320</v>
      </c>
      <c r="D5" s="3" t="s">
        <v>1026</v>
      </c>
      <c r="E5" s="167" t="s">
        <v>932</v>
      </c>
      <c r="G5" s="5"/>
      <c r="H5" s="1"/>
      <c r="I5" s="20"/>
      <c r="J5" s="20" t="s">
        <v>1323</v>
      </c>
      <c r="K5" s="20"/>
      <c r="L5" s="20" t="s">
        <v>1038</v>
      </c>
      <c r="M5" s="20" t="s">
        <v>1106</v>
      </c>
      <c r="N5" s="20"/>
      <c r="O5" s="20" t="s">
        <v>1384</v>
      </c>
      <c r="P5" s="20"/>
      <c r="Q5" s="20"/>
      <c r="R5" s="20"/>
      <c r="S5" s="20"/>
      <c r="T5" s="20"/>
      <c r="U5" s="20"/>
      <c r="V5" s="20"/>
      <c r="W5" s="20"/>
      <c r="X5" s="20"/>
      <c r="Y5" s="20"/>
      <c r="Z5" s="20"/>
    </row>
    <row r="6" spans="1:26" x14ac:dyDescent="0.25">
      <c r="A6" s="193" t="s">
        <v>1027</v>
      </c>
      <c r="B6" s="167" t="s">
        <v>932</v>
      </c>
      <c r="D6" s="3" t="s">
        <v>1028</v>
      </c>
      <c r="E6" s="167" t="s">
        <v>932</v>
      </c>
      <c r="G6" s="5"/>
      <c r="H6" s="1"/>
      <c r="I6" s="20"/>
      <c r="J6" s="20" t="s">
        <v>1033</v>
      </c>
      <c r="K6" s="20"/>
      <c r="L6" s="20" t="s">
        <v>1039</v>
      </c>
      <c r="M6" s="20" t="s">
        <v>1107</v>
      </c>
      <c r="N6" s="20"/>
      <c r="O6" s="20" t="s">
        <v>1221</v>
      </c>
      <c r="P6" s="20"/>
      <c r="Q6" s="20"/>
      <c r="R6" s="20"/>
      <c r="S6" s="20"/>
      <c r="T6" s="20"/>
      <c r="U6" s="20"/>
      <c r="V6" s="20"/>
      <c r="W6" s="20"/>
      <c r="X6" s="20"/>
      <c r="Y6" s="20"/>
      <c r="Z6" s="20"/>
    </row>
    <row r="7" spans="1:26" x14ac:dyDescent="0.25">
      <c r="A7" s="3"/>
      <c r="B7" s="7"/>
      <c r="H7" s="4"/>
      <c r="I7" s="20"/>
      <c r="J7" s="20" t="s">
        <v>1040</v>
      </c>
      <c r="K7" s="20" t="str">
        <f>J7</f>
        <v>Beastmasters</v>
      </c>
      <c r="L7" s="20" t="s">
        <v>1041</v>
      </c>
      <c r="M7" s="20" t="s">
        <v>1108</v>
      </c>
      <c r="N7" s="20"/>
      <c r="O7" s="20" t="s">
        <v>1130</v>
      </c>
      <c r="P7" s="20"/>
      <c r="Q7" s="20"/>
      <c r="R7" s="20"/>
      <c r="S7" s="20"/>
      <c r="T7" s="20"/>
      <c r="U7" s="20"/>
      <c r="V7" s="20"/>
      <c r="W7" s="20"/>
      <c r="X7" s="20"/>
      <c r="Y7" s="20"/>
      <c r="Z7" s="20"/>
    </row>
    <row r="8" spans="1:26" x14ac:dyDescent="0.25">
      <c r="A8" s="3" t="s">
        <v>404</v>
      </c>
      <c r="B8">
        <f ca="1">(C11+DrL)/10</f>
        <v>1.03</v>
      </c>
      <c r="D8" s="5" t="s">
        <v>405</v>
      </c>
      <c r="E8" s="1">
        <f ca="1">ROUND(B8*H14*250*1.96875,0)</f>
        <v>507</v>
      </c>
      <c r="G8" s="5" t="s">
        <v>406</v>
      </c>
      <c r="H8" s="9"/>
      <c r="I8" s="21"/>
      <c r="J8" s="20" t="s">
        <v>1043</v>
      </c>
      <c r="K8" s="21"/>
      <c r="L8" s="20" t="s">
        <v>1042</v>
      </c>
      <c r="M8" s="20" t="s">
        <v>1109</v>
      </c>
      <c r="N8" s="20"/>
      <c r="O8" s="20" t="s">
        <v>1131</v>
      </c>
      <c r="P8" s="21"/>
      <c r="Q8" s="21"/>
      <c r="R8" s="21"/>
      <c r="S8" s="21"/>
      <c r="T8" s="21"/>
      <c r="U8" s="21"/>
      <c r="V8" s="21"/>
      <c r="W8" s="21"/>
      <c r="X8" s="21"/>
      <c r="Y8" s="21"/>
      <c r="Z8" s="21"/>
    </row>
    <row r="9" spans="1:26" x14ac:dyDescent="0.25">
      <c r="A9" s="3"/>
      <c r="D9" s="3"/>
      <c r="H9" s="13"/>
      <c r="I9" s="20"/>
      <c r="J9" s="20" t="s">
        <v>1060</v>
      </c>
      <c r="K9" s="20"/>
      <c r="L9" s="20" t="s">
        <v>1047</v>
      </c>
      <c r="M9" s="20" t="s">
        <v>1110</v>
      </c>
      <c r="N9" s="20"/>
      <c r="O9" s="20" t="s">
        <v>1210</v>
      </c>
      <c r="P9" s="20"/>
      <c r="Q9" s="20"/>
      <c r="R9" s="20"/>
      <c r="S9" s="20"/>
      <c r="T9" s="20"/>
      <c r="U9" s="20"/>
      <c r="V9" s="20"/>
      <c r="W9" s="20"/>
      <c r="X9" s="20"/>
      <c r="Y9" s="20"/>
      <c r="Z9" s="20"/>
    </row>
    <row r="10" spans="1:26" x14ac:dyDescent="0.25">
      <c r="A10" s="3" t="s">
        <v>407</v>
      </c>
      <c r="B10" s="3" t="s">
        <v>403</v>
      </c>
      <c r="C10" s="10">
        <f>2*DrL</f>
        <v>4.5999999999999996</v>
      </c>
      <c r="D10" s="3"/>
      <c r="H10" s="17"/>
      <c r="I10" s="31"/>
      <c r="J10" s="20" t="s">
        <v>1054</v>
      </c>
      <c r="K10" s="31"/>
      <c r="L10" s="20" t="s">
        <v>1048</v>
      </c>
      <c r="M10" s="20" t="s">
        <v>1111</v>
      </c>
      <c r="N10" s="21"/>
      <c r="O10" s="20" t="s">
        <v>1215</v>
      </c>
      <c r="P10" s="31"/>
      <c r="Q10" s="31"/>
      <c r="R10" s="31"/>
      <c r="S10" s="31"/>
      <c r="T10" s="31"/>
      <c r="U10" s="31"/>
      <c r="V10" s="31"/>
      <c r="W10" s="31"/>
      <c r="X10" s="31"/>
      <c r="Y10" s="31"/>
      <c r="Z10" s="31"/>
    </row>
    <row r="11" spans="1:26" x14ac:dyDescent="0.25">
      <c r="A11" s="3"/>
      <c r="B11" s="3" t="s">
        <v>408</v>
      </c>
      <c r="C11">
        <f ca="1">'Characteristics &amp; Experience'!B58</f>
        <v>8</v>
      </c>
      <c r="D11" s="3"/>
      <c r="H11" s="15"/>
      <c r="I11" s="32"/>
      <c r="J11" s="20" t="s">
        <v>1055</v>
      </c>
      <c r="K11" s="32"/>
      <c r="L11" s="20" t="s">
        <v>1044</v>
      </c>
      <c r="M11" s="20" t="s">
        <v>1112</v>
      </c>
      <c r="N11" s="20"/>
      <c r="O11" s="20" t="s">
        <v>1223</v>
      </c>
      <c r="P11" s="32"/>
      <c r="Q11" s="32"/>
      <c r="R11" s="32"/>
      <c r="S11" s="32"/>
      <c r="T11" s="32"/>
      <c r="U11" s="32"/>
      <c r="V11" s="32"/>
      <c r="W11" s="32"/>
      <c r="X11" s="32"/>
      <c r="Y11" s="32"/>
      <c r="Z11" s="32"/>
    </row>
    <row r="12" spans="1:26" x14ac:dyDescent="0.25">
      <c r="B12" s="3" t="s">
        <v>409</v>
      </c>
      <c r="C12">
        <f ca="1">'Characteristics &amp; Experience'!C54</f>
        <v>-1</v>
      </c>
      <c r="H12" s="16"/>
      <c r="I12" s="33"/>
      <c r="J12" s="20" t="s">
        <v>1091</v>
      </c>
      <c r="K12" s="33"/>
      <c r="L12" s="20" t="s">
        <v>1045</v>
      </c>
      <c r="M12" s="20" t="s">
        <v>1115</v>
      </c>
      <c r="N12" s="31"/>
      <c r="O12" s="20" t="s">
        <v>1217</v>
      </c>
      <c r="P12" s="33"/>
      <c r="Q12" s="33"/>
      <c r="R12" s="33"/>
      <c r="S12" s="33"/>
      <c r="T12" s="33"/>
      <c r="U12" s="33"/>
      <c r="V12" s="33"/>
      <c r="W12" s="33"/>
      <c r="X12" s="33"/>
      <c r="Y12" s="33"/>
      <c r="Z12" s="33"/>
    </row>
    <row r="13" spans="1:26" x14ac:dyDescent="0.25">
      <c r="B13" s="3" t="s">
        <v>410</v>
      </c>
      <c r="C13">
        <f ca="1">IF(USLs&lt;0,INT(USLs),0)</f>
        <v>0</v>
      </c>
      <c r="I13" s="20"/>
      <c r="J13" s="20" t="s">
        <v>1092</v>
      </c>
      <c r="K13" s="20"/>
      <c r="L13" s="20" t="s">
        <v>1046</v>
      </c>
      <c r="M13" s="20" t="s">
        <v>1113</v>
      </c>
      <c r="N13" s="32"/>
      <c r="O13" s="20" t="s">
        <v>1207</v>
      </c>
      <c r="P13" s="20"/>
      <c r="Q13" s="20"/>
      <c r="R13" s="20"/>
      <c r="S13" s="20"/>
      <c r="T13" s="20"/>
      <c r="U13" s="20"/>
      <c r="V13" s="20"/>
      <c r="W13" s="20"/>
      <c r="X13" s="20"/>
      <c r="Y13" s="20"/>
      <c r="Z13" s="20"/>
    </row>
    <row r="14" spans="1:26" x14ac:dyDescent="0.25">
      <c r="A14" s="3" t="s">
        <v>411</v>
      </c>
      <c r="B14" s="3"/>
      <c r="C14" s="10">
        <f ca="1">INT(SUM(C10:C13))</f>
        <v>11</v>
      </c>
      <c r="D14" t="s">
        <v>412</v>
      </c>
      <c r="H14" s="1">
        <v>1</v>
      </c>
      <c r="I14" s="20"/>
      <c r="J14" s="20" t="s">
        <v>1096</v>
      </c>
      <c r="K14" s="20"/>
      <c r="L14" s="20" t="s">
        <v>1393</v>
      </c>
      <c r="M14" s="20" t="s">
        <v>1114</v>
      </c>
      <c r="N14" s="33"/>
      <c r="O14" s="20" t="s">
        <v>1200</v>
      </c>
      <c r="P14" s="20"/>
      <c r="Q14" s="20"/>
      <c r="R14" s="20"/>
      <c r="S14" s="20"/>
      <c r="T14" s="20"/>
      <c r="U14" s="20"/>
      <c r="V14" s="20"/>
      <c r="W14" s="20"/>
      <c r="X14" s="20"/>
      <c r="Y14" s="20"/>
      <c r="Z14" s="20"/>
    </row>
    <row r="15" spans="1:26" x14ac:dyDescent="0.25">
      <c r="I15" s="20"/>
      <c r="J15" s="20" t="s">
        <v>1101</v>
      </c>
      <c r="K15" s="20"/>
      <c r="L15" s="20" t="s">
        <v>1290</v>
      </c>
      <c r="M15" s="20" t="s">
        <v>1116</v>
      </c>
      <c r="N15" s="20"/>
      <c r="O15" s="20" t="s">
        <v>1136</v>
      </c>
      <c r="P15" s="20"/>
      <c r="Q15" s="20"/>
      <c r="R15" s="20"/>
      <c r="S15" s="20"/>
      <c r="T15" s="20"/>
      <c r="U15" s="20"/>
      <c r="V15" s="20"/>
      <c r="W15" s="20"/>
      <c r="X15" s="20"/>
      <c r="Y15" s="20"/>
      <c r="Z15" s="20"/>
    </row>
    <row r="16" spans="1:26" x14ac:dyDescent="0.25">
      <c r="A16" s="211" t="s">
        <v>1324</v>
      </c>
      <c r="I16" s="20"/>
      <c r="J16" s="20" t="s">
        <v>1102</v>
      </c>
      <c r="K16" s="20"/>
      <c r="L16" s="20" t="s">
        <v>1400</v>
      </c>
      <c r="M16" s="20" t="s">
        <v>1117</v>
      </c>
      <c r="N16" s="20"/>
      <c r="O16" s="20" t="s">
        <v>1185</v>
      </c>
      <c r="P16" s="20"/>
      <c r="Q16" s="20"/>
      <c r="R16" s="20"/>
      <c r="S16" s="20"/>
      <c r="T16" s="20"/>
      <c r="U16" s="20"/>
      <c r="V16" s="20"/>
      <c r="W16" s="20"/>
      <c r="X16" s="20"/>
      <c r="Y16" s="20"/>
      <c r="Z16" s="20"/>
    </row>
    <row r="17" spans="1:26" x14ac:dyDescent="0.25">
      <c r="D17" s="3" t="s">
        <v>1318</v>
      </c>
      <c r="H17" s="13"/>
      <c r="I17" s="20"/>
      <c r="J17" s="20"/>
      <c r="K17" s="20"/>
      <c r="L17" s="20" t="s">
        <v>1283</v>
      </c>
      <c r="M17" s="20" t="s">
        <v>1118</v>
      </c>
      <c r="N17" s="20"/>
      <c r="O17" s="20" t="s">
        <v>1292</v>
      </c>
      <c r="P17" s="20"/>
      <c r="Q17" s="20"/>
      <c r="R17" s="20"/>
      <c r="S17" s="20"/>
      <c r="T17" s="20"/>
      <c r="U17" s="20"/>
      <c r="V17" s="20"/>
      <c r="W17" s="20"/>
      <c r="X17" s="20"/>
      <c r="Y17" s="20"/>
      <c r="Z17" s="20"/>
    </row>
    <row r="18" spans="1:26" x14ac:dyDescent="0.25">
      <c r="A18" s="3" t="s">
        <v>390</v>
      </c>
      <c r="B18" s="3" t="s">
        <v>1317</v>
      </c>
      <c r="C18" s="3" t="s">
        <v>1387</v>
      </c>
      <c r="D18" s="3">
        <v>1</v>
      </c>
      <c r="E18" s="3">
        <v>2</v>
      </c>
      <c r="F18" s="3">
        <v>6</v>
      </c>
      <c r="G18" s="3">
        <v>8</v>
      </c>
      <c r="H18" s="3">
        <v>13</v>
      </c>
      <c r="I18" s="20"/>
      <c r="J18" s="20"/>
      <c r="K18" s="20"/>
      <c r="L18" s="20" t="s">
        <v>1049</v>
      </c>
      <c r="M18" s="20" t="s">
        <v>1119</v>
      </c>
      <c r="N18" s="20"/>
      <c r="O18" s="20" t="s">
        <v>1302</v>
      </c>
      <c r="P18" s="20"/>
      <c r="Q18" s="20"/>
      <c r="R18" s="20"/>
      <c r="S18" s="20"/>
      <c r="T18" s="20"/>
      <c r="U18" s="20"/>
      <c r="V18" s="20"/>
      <c r="W18" s="20"/>
      <c r="X18" s="20"/>
      <c r="Y18" s="20"/>
      <c r="Z18" s="20"/>
    </row>
    <row r="19" spans="1:26" x14ac:dyDescent="0.25">
      <c r="A19" s="166" t="s">
        <v>391</v>
      </c>
      <c r="B19" s="166" t="s">
        <v>392</v>
      </c>
      <c r="C19" s="166" t="s">
        <v>393</v>
      </c>
      <c r="D19" s="130"/>
      <c r="E19" s="130"/>
      <c r="F19" s="130"/>
      <c r="G19" s="130"/>
      <c r="H19" s="130"/>
      <c r="I19" s="20"/>
      <c r="J19" s="20"/>
      <c r="K19" s="20"/>
      <c r="L19" s="20" t="s">
        <v>1050</v>
      </c>
      <c r="M19" s="20" t="s">
        <v>1120</v>
      </c>
      <c r="N19" s="20"/>
      <c r="O19" s="20" t="s">
        <v>1157</v>
      </c>
      <c r="P19" s="20"/>
      <c r="Q19" s="20"/>
      <c r="R19" s="20"/>
      <c r="S19" s="20"/>
      <c r="T19" s="20"/>
      <c r="U19" s="20"/>
      <c r="V19" s="20"/>
      <c r="W19" s="20"/>
      <c r="X19" s="20"/>
      <c r="Y19" s="20"/>
      <c r="Z19" s="20"/>
    </row>
    <row r="20" spans="1:26" x14ac:dyDescent="0.25">
      <c r="A20" s="168" t="s">
        <v>394</v>
      </c>
      <c r="B20" s="168" t="s">
        <v>395</v>
      </c>
      <c r="C20" s="168" t="s">
        <v>396</v>
      </c>
      <c r="D20" s="130"/>
      <c r="E20" s="130"/>
      <c r="F20" s="130"/>
      <c r="G20" s="130"/>
      <c r="H20" s="130"/>
      <c r="I20" s="20"/>
      <c r="J20" s="20"/>
      <c r="K20" s="20"/>
      <c r="L20" s="20" t="s">
        <v>1284</v>
      </c>
      <c r="M20" s="20" t="s">
        <v>1121</v>
      </c>
      <c r="N20" s="20"/>
      <c r="O20" s="20" t="s">
        <v>1186</v>
      </c>
      <c r="P20" s="20"/>
      <c r="Q20" s="20"/>
      <c r="R20" s="20"/>
      <c r="S20" s="20"/>
      <c r="T20" s="20"/>
      <c r="U20" s="20"/>
      <c r="V20" s="20"/>
      <c r="W20" s="20"/>
      <c r="X20" s="20"/>
      <c r="Y20" s="20"/>
      <c r="Z20" s="20"/>
    </row>
    <row r="21" spans="1:26" x14ac:dyDescent="0.25">
      <c r="A21" s="169" t="s">
        <v>397</v>
      </c>
      <c r="B21" s="169" t="s">
        <v>398</v>
      </c>
      <c r="C21" s="169" t="s">
        <v>399</v>
      </c>
      <c r="D21" s="130"/>
      <c r="E21" s="130"/>
      <c r="F21" s="130"/>
      <c r="G21" s="130"/>
      <c r="H21" s="130"/>
      <c r="I21" s="20"/>
      <c r="J21" s="20"/>
      <c r="K21" s="20"/>
      <c r="L21" s="20" t="s">
        <v>1051</v>
      </c>
      <c r="M21" s="20" t="s">
        <v>1122</v>
      </c>
      <c r="N21" s="20"/>
      <c r="O21" s="20" t="s">
        <v>1201</v>
      </c>
      <c r="P21" s="20"/>
      <c r="Q21" s="20"/>
      <c r="R21" s="20"/>
      <c r="S21" s="20"/>
      <c r="T21" s="20"/>
      <c r="U21" s="20"/>
      <c r="V21" s="20"/>
      <c r="W21" s="20"/>
      <c r="X21" s="20"/>
      <c r="Y21" s="20"/>
      <c r="Z21" s="20"/>
    </row>
    <row r="22" spans="1:26" x14ac:dyDescent="0.25">
      <c r="A22" s="170" t="s">
        <v>400</v>
      </c>
      <c r="B22" s="170" t="s">
        <v>1326</v>
      </c>
      <c r="C22" s="170" t="s">
        <v>401</v>
      </c>
      <c r="D22" s="130"/>
      <c r="E22" s="130"/>
      <c r="F22" s="130"/>
      <c r="G22" s="130"/>
      <c r="H22" s="130"/>
      <c r="I22" s="20"/>
      <c r="J22" s="20"/>
      <c r="K22" s="20"/>
      <c r="L22" s="20" t="s">
        <v>1052</v>
      </c>
      <c r="M22" s="20" t="s">
        <v>1123</v>
      </c>
      <c r="N22" s="20"/>
      <c r="O22" s="20" t="s">
        <v>1147</v>
      </c>
      <c r="P22" s="20"/>
      <c r="Q22" s="20"/>
      <c r="R22" s="20"/>
      <c r="S22" s="20"/>
      <c r="T22" s="20"/>
      <c r="U22" s="20"/>
      <c r="V22" s="20"/>
      <c r="W22" s="20"/>
      <c r="X22" s="20"/>
      <c r="Y22" s="20"/>
      <c r="Z22" s="20"/>
    </row>
    <row r="23" spans="1:26" x14ac:dyDescent="0.25">
      <c r="I23" s="20"/>
      <c r="J23" s="20"/>
      <c r="K23" s="20"/>
      <c r="L23" s="20" t="s">
        <v>1053</v>
      </c>
      <c r="M23" s="20" t="s">
        <v>1124</v>
      </c>
      <c r="N23" s="20"/>
      <c r="O23" s="20" t="s">
        <v>1132</v>
      </c>
      <c r="P23" s="20"/>
      <c r="Q23" s="20"/>
      <c r="R23" s="20"/>
      <c r="S23" s="20"/>
      <c r="T23" s="20"/>
      <c r="U23" s="20"/>
      <c r="V23" s="20"/>
      <c r="W23" s="20"/>
      <c r="X23" s="20"/>
      <c r="Y23" s="20"/>
      <c r="Z23" s="20"/>
    </row>
    <row r="24" spans="1:26" x14ac:dyDescent="0.25">
      <c r="A24" s="211" t="s">
        <v>1325</v>
      </c>
      <c r="I24" s="20"/>
      <c r="J24" s="20"/>
      <c r="K24" s="20"/>
      <c r="L24" s="20" t="s">
        <v>1061</v>
      </c>
      <c r="M24" s="20" t="s">
        <v>1125</v>
      </c>
      <c r="N24" s="20"/>
      <c r="O24" s="20" t="s">
        <v>1143</v>
      </c>
      <c r="P24" s="20"/>
      <c r="Q24" s="20"/>
      <c r="R24" s="20"/>
      <c r="S24" s="20"/>
      <c r="T24" s="20"/>
      <c r="U24" s="20"/>
      <c r="V24" s="20"/>
      <c r="W24" s="20"/>
      <c r="X24" s="20"/>
      <c r="Y24" s="20"/>
      <c r="Z24" s="20"/>
    </row>
    <row r="25" spans="1:26" x14ac:dyDescent="0.25">
      <c r="I25" s="20"/>
      <c r="J25" s="20"/>
      <c r="K25" s="20" t="str">
        <f>J8</f>
        <v>Mist Warriors</v>
      </c>
      <c r="L25" s="20" t="s">
        <v>1072</v>
      </c>
      <c r="M25" s="20" t="s">
        <v>1126</v>
      </c>
      <c r="N25" s="20"/>
      <c r="O25" s="20" t="s">
        <v>1202</v>
      </c>
      <c r="P25" s="20"/>
      <c r="Q25" s="20"/>
      <c r="R25" s="20"/>
      <c r="S25" s="20"/>
      <c r="T25" s="20"/>
      <c r="U25" s="20"/>
      <c r="V25" s="20"/>
      <c r="W25" s="20"/>
      <c r="X25" s="20"/>
      <c r="Y25" s="20"/>
      <c r="Z25" s="20"/>
    </row>
    <row r="26" spans="1:26" x14ac:dyDescent="0.25">
      <c r="A26" s="3" t="s">
        <v>413</v>
      </c>
      <c r="B26" s="3" t="s">
        <v>414</v>
      </c>
      <c r="E26" s="3" t="s">
        <v>390</v>
      </c>
      <c r="F26" s="3" t="s">
        <v>55</v>
      </c>
      <c r="G26" s="3" t="s">
        <v>57</v>
      </c>
      <c r="I26" s="20"/>
      <c r="J26" s="20"/>
      <c r="K26" s="20"/>
      <c r="L26" s="20" t="s">
        <v>1069</v>
      </c>
      <c r="M26" s="20" t="s">
        <v>1127</v>
      </c>
      <c r="N26" s="20"/>
      <c r="O26" s="20" t="s">
        <v>1146</v>
      </c>
      <c r="P26" s="20"/>
      <c r="Q26" s="20"/>
      <c r="R26" s="20"/>
      <c r="S26" s="20"/>
      <c r="T26" s="20"/>
      <c r="U26" s="20"/>
      <c r="V26" s="20"/>
      <c r="W26" s="20"/>
      <c r="X26" s="20"/>
      <c r="Y26" s="20"/>
      <c r="Z26" s="20"/>
    </row>
    <row r="27" spans="1:26" x14ac:dyDescent="0.25">
      <c r="A27" s="4"/>
      <c r="B27" s="4"/>
      <c r="E27" s="4"/>
      <c r="F27" s="4"/>
      <c r="I27" s="20"/>
      <c r="J27" s="20"/>
      <c r="K27" s="20"/>
      <c r="L27" s="20" t="s">
        <v>1074</v>
      </c>
      <c r="M27" s="20" t="s">
        <v>932</v>
      </c>
      <c r="N27" s="20"/>
      <c r="O27" s="20" t="s">
        <v>1187</v>
      </c>
      <c r="P27" s="20"/>
      <c r="Q27" s="20"/>
      <c r="R27" s="20"/>
      <c r="S27" s="20"/>
      <c r="T27" s="20"/>
      <c r="U27" s="20"/>
      <c r="V27" s="20"/>
      <c r="W27" s="20"/>
      <c r="X27" s="20"/>
      <c r="Y27" s="20"/>
      <c r="Z27" s="20"/>
    </row>
    <row r="28" spans="1:26" x14ac:dyDescent="0.25">
      <c r="A28" s="14" t="s">
        <v>415</v>
      </c>
      <c r="B28" s="4" t="s">
        <v>306</v>
      </c>
      <c r="E28" s="4" t="s">
        <v>416</v>
      </c>
      <c r="F28" s="4"/>
      <c r="G28" s="24">
        <v>1</v>
      </c>
      <c r="I28" s="20"/>
      <c r="J28" s="20"/>
      <c r="K28" s="20"/>
      <c r="L28" s="20" t="s">
        <v>1073</v>
      </c>
      <c r="M28" s="20"/>
      <c r="N28" s="20"/>
      <c r="O28" s="20" t="s">
        <v>1220</v>
      </c>
      <c r="P28" s="20"/>
      <c r="Q28" s="20"/>
      <c r="R28" s="20"/>
      <c r="S28" s="20"/>
      <c r="T28" s="20"/>
      <c r="U28" s="20"/>
      <c r="V28" s="20"/>
      <c r="W28" s="20"/>
      <c r="X28" s="20"/>
      <c r="Y28" s="20"/>
      <c r="Z28" s="20"/>
    </row>
    <row r="29" spans="1:26" x14ac:dyDescent="0.25">
      <c r="A29" s="14" t="s">
        <v>415</v>
      </c>
      <c r="B29" s="4" t="s">
        <v>417</v>
      </c>
      <c r="E29" s="4" t="s">
        <v>416</v>
      </c>
      <c r="F29" s="4"/>
      <c r="G29" s="24">
        <v>1</v>
      </c>
      <c r="I29" s="20"/>
      <c r="J29" s="20"/>
      <c r="K29" s="20"/>
      <c r="L29" s="20" t="s">
        <v>1068</v>
      </c>
      <c r="M29" s="20"/>
      <c r="N29" s="20"/>
      <c r="O29" s="20" t="s">
        <v>1222</v>
      </c>
      <c r="P29" s="20"/>
      <c r="Q29" s="20"/>
      <c r="R29" s="20"/>
      <c r="S29" s="20"/>
      <c r="T29" s="20"/>
      <c r="U29" s="20"/>
      <c r="V29" s="20"/>
      <c r="W29" s="20"/>
      <c r="X29" s="20"/>
      <c r="Y29" s="20"/>
      <c r="Z29" s="20"/>
    </row>
    <row r="30" spans="1:26" x14ac:dyDescent="0.25">
      <c r="A30" s="4"/>
      <c r="B30" s="4"/>
      <c r="E30" s="4"/>
      <c r="F30" s="4">
        <f>COUNTA(B28:B29)</f>
        <v>2</v>
      </c>
      <c r="I30" s="20"/>
      <c r="J30" s="20"/>
      <c r="K30" s="20"/>
      <c r="L30" s="20" t="s">
        <v>1070</v>
      </c>
      <c r="M30" s="20"/>
      <c r="N30" s="20"/>
      <c r="O30" s="20" t="s">
        <v>1151</v>
      </c>
      <c r="P30" s="20"/>
      <c r="Q30" s="20"/>
      <c r="R30" s="20"/>
      <c r="S30" s="20"/>
      <c r="T30" s="20"/>
      <c r="U30" s="20"/>
      <c r="V30" s="20"/>
      <c r="W30" s="20"/>
      <c r="X30" s="20"/>
      <c r="Y30" s="20"/>
      <c r="Z30" s="20"/>
    </row>
    <row r="31" spans="1:26" x14ac:dyDescent="0.25">
      <c r="A31" s="4">
        <v>1</v>
      </c>
      <c r="B31" s="4" t="s">
        <v>418</v>
      </c>
      <c r="E31" s="4" t="s">
        <v>419</v>
      </c>
      <c r="F31" s="4"/>
      <c r="G31" s="24">
        <v>0</v>
      </c>
      <c r="I31" s="20"/>
      <c r="J31" s="20"/>
      <c r="K31" s="20"/>
      <c r="L31" s="20" t="s">
        <v>1075</v>
      </c>
      <c r="M31" s="20"/>
      <c r="N31" s="20"/>
      <c r="O31" s="20" t="s">
        <v>1188</v>
      </c>
      <c r="P31" s="20"/>
      <c r="Q31" s="20"/>
      <c r="R31" s="20"/>
      <c r="S31" s="20"/>
      <c r="T31" s="20"/>
      <c r="U31" s="20"/>
      <c r="V31" s="20"/>
      <c r="W31" s="20"/>
      <c r="X31" s="20"/>
      <c r="Y31" s="20"/>
      <c r="Z31" s="20"/>
    </row>
    <row r="32" spans="1:26" x14ac:dyDescent="0.25">
      <c r="A32" s="4"/>
      <c r="B32" s="4" t="s">
        <v>420</v>
      </c>
      <c r="E32" s="4" t="s">
        <v>419</v>
      </c>
      <c r="F32" s="4"/>
      <c r="G32" s="24">
        <v>0</v>
      </c>
      <c r="I32" s="20"/>
      <c r="J32" s="20"/>
      <c r="K32" s="20"/>
      <c r="L32" s="20" t="s">
        <v>1063</v>
      </c>
      <c r="M32" s="20"/>
      <c r="N32" s="20"/>
      <c r="O32" s="20" t="s">
        <v>1133</v>
      </c>
      <c r="P32" s="20"/>
      <c r="Q32" s="20"/>
      <c r="R32" s="20"/>
      <c r="S32" s="20"/>
      <c r="T32" s="20"/>
      <c r="U32" s="20"/>
      <c r="V32" s="20"/>
      <c r="W32" s="20"/>
      <c r="X32" s="20"/>
      <c r="Y32" s="20"/>
      <c r="Z32" s="20"/>
    </row>
    <row r="33" spans="1:26" x14ac:dyDescent="0.25">
      <c r="A33" s="4"/>
      <c r="B33" s="4" t="s">
        <v>421</v>
      </c>
      <c r="E33" s="4" t="s">
        <v>419</v>
      </c>
      <c r="F33" s="4"/>
      <c r="G33" s="24">
        <v>1</v>
      </c>
      <c r="I33" s="20"/>
      <c r="J33" s="20"/>
      <c r="K33" s="20"/>
      <c r="L33" s="20" t="s">
        <v>1062</v>
      </c>
      <c r="M33" s="20"/>
      <c r="N33" s="20"/>
      <c r="O33" s="20" t="s">
        <v>1218</v>
      </c>
      <c r="P33" s="20"/>
      <c r="Q33" s="20"/>
      <c r="R33" s="20"/>
      <c r="S33" s="20"/>
      <c r="T33" s="20"/>
      <c r="U33" s="20"/>
      <c r="V33" s="20"/>
      <c r="W33" s="20"/>
      <c r="X33" s="20"/>
      <c r="Y33" s="20"/>
      <c r="Z33" s="20"/>
    </row>
    <row r="34" spans="1:26" x14ac:dyDescent="0.25">
      <c r="A34" s="4"/>
      <c r="B34" s="4" t="s">
        <v>422</v>
      </c>
      <c r="E34" s="4" t="s">
        <v>419</v>
      </c>
      <c r="F34" s="4"/>
      <c r="G34" s="24">
        <v>1</v>
      </c>
      <c r="I34" s="20"/>
      <c r="J34" s="20"/>
      <c r="K34" s="20"/>
      <c r="L34" s="20" t="s">
        <v>1065</v>
      </c>
      <c r="M34" s="20"/>
      <c r="N34" s="20"/>
      <c r="O34" s="20" t="s">
        <v>1204</v>
      </c>
      <c r="P34" s="20"/>
      <c r="Q34" s="20"/>
      <c r="R34" s="20"/>
      <c r="S34" s="20"/>
      <c r="T34" s="20"/>
      <c r="U34" s="20"/>
      <c r="V34" s="20"/>
      <c r="W34" s="20"/>
      <c r="X34" s="20"/>
      <c r="Y34" s="20"/>
      <c r="Z34" s="20"/>
    </row>
    <row r="35" spans="1:26" x14ac:dyDescent="0.25">
      <c r="A35" s="4"/>
      <c r="B35" s="4" t="s">
        <v>423</v>
      </c>
      <c r="E35" s="4" t="s">
        <v>424</v>
      </c>
      <c r="F35" s="4"/>
      <c r="G35" s="24">
        <v>1</v>
      </c>
      <c r="I35" s="20"/>
      <c r="J35" s="20"/>
      <c r="K35" s="20"/>
      <c r="L35" s="20" t="s">
        <v>1076</v>
      </c>
      <c r="M35" s="20"/>
      <c r="N35" s="20"/>
      <c r="O35" s="20" t="s">
        <v>1303</v>
      </c>
      <c r="P35" s="20"/>
      <c r="Q35" s="20"/>
      <c r="R35" s="20"/>
      <c r="S35" s="20"/>
      <c r="T35" s="20"/>
      <c r="U35" s="20"/>
      <c r="V35" s="20"/>
      <c r="W35" s="20"/>
      <c r="X35" s="20"/>
      <c r="Y35" s="20"/>
      <c r="Z35" s="20"/>
    </row>
    <row r="36" spans="1:26" x14ac:dyDescent="0.25">
      <c r="A36" s="4"/>
      <c r="B36" s="4" t="s">
        <v>425</v>
      </c>
      <c r="E36" s="4" t="s">
        <v>424</v>
      </c>
      <c r="F36" s="4"/>
      <c r="G36" s="24">
        <v>0</v>
      </c>
      <c r="I36" s="20"/>
      <c r="J36" s="20"/>
      <c r="K36" s="20"/>
      <c r="L36" s="20" t="s">
        <v>1064</v>
      </c>
      <c r="M36" s="20"/>
      <c r="N36" s="20"/>
      <c r="O36" s="20" t="s">
        <v>1139</v>
      </c>
      <c r="P36" s="20"/>
      <c r="Q36" s="20"/>
      <c r="R36" s="20"/>
      <c r="S36" s="20"/>
      <c r="T36" s="20"/>
      <c r="U36" s="20"/>
      <c r="V36" s="20"/>
      <c r="W36" s="20"/>
      <c r="X36" s="20"/>
      <c r="Y36" s="20"/>
      <c r="Z36" s="20"/>
    </row>
    <row r="37" spans="1:26" x14ac:dyDescent="0.25">
      <c r="A37" s="4"/>
      <c r="B37" s="4" t="s">
        <v>426</v>
      </c>
      <c r="E37" s="4" t="s">
        <v>427</v>
      </c>
      <c r="F37" s="4"/>
      <c r="G37" s="24">
        <v>1</v>
      </c>
      <c r="I37" s="20"/>
      <c r="J37" s="20"/>
      <c r="K37" s="20"/>
      <c r="L37" s="20" t="s">
        <v>1071</v>
      </c>
      <c r="M37" s="20"/>
      <c r="N37" s="20"/>
      <c r="O37" s="20" t="s">
        <v>1211</v>
      </c>
      <c r="P37" s="20"/>
      <c r="Q37" s="20"/>
      <c r="R37" s="20"/>
      <c r="S37" s="20"/>
      <c r="T37" s="20"/>
      <c r="U37" s="20"/>
      <c r="V37" s="20"/>
      <c r="W37" s="20"/>
      <c r="X37" s="20"/>
      <c r="Y37" s="20"/>
      <c r="Z37" s="20"/>
    </row>
    <row r="38" spans="1:26" x14ac:dyDescent="0.25">
      <c r="A38" s="4"/>
      <c r="B38" s="4" t="s">
        <v>428</v>
      </c>
      <c r="E38" s="4" t="s">
        <v>427</v>
      </c>
      <c r="F38" s="4"/>
      <c r="G38" s="24">
        <v>0</v>
      </c>
      <c r="I38" s="20"/>
      <c r="J38" s="20"/>
      <c r="K38" s="20"/>
      <c r="L38" s="20" t="s">
        <v>1067</v>
      </c>
      <c r="M38" s="20"/>
      <c r="N38" s="20"/>
      <c r="O38" s="20" t="s">
        <v>1137</v>
      </c>
      <c r="P38" s="20"/>
      <c r="Q38" s="20"/>
      <c r="R38" s="20"/>
      <c r="S38" s="20"/>
      <c r="T38" s="20"/>
      <c r="U38" s="20"/>
      <c r="V38" s="20"/>
      <c r="W38" s="20"/>
      <c r="X38" s="20"/>
      <c r="Y38" s="20"/>
      <c r="Z38" s="20"/>
    </row>
    <row r="39" spans="1:26" x14ac:dyDescent="0.25">
      <c r="A39" s="4"/>
      <c r="B39" s="4" t="s">
        <v>429</v>
      </c>
      <c r="E39" s="4" t="s">
        <v>427</v>
      </c>
      <c r="F39" s="4"/>
      <c r="G39" s="24">
        <v>0</v>
      </c>
      <c r="I39" s="20"/>
      <c r="J39" s="20"/>
      <c r="K39" s="20"/>
      <c r="L39" s="20" t="s">
        <v>1066</v>
      </c>
      <c r="M39" s="20"/>
      <c r="N39" s="20"/>
      <c r="O39" s="20" t="s">
        <v>1153</v>
      </c>
      <c r="P39" s="20"/>
      <c r="Q39" s="20"/>
      <c r="R39" s="20"/>
      <c r="S39" s="20"/>
      <c r="T39" s="20"/>
      <c r="U39" s="20"/>
      <c r="V39" s="20"/>
      <c r="W39" s="20"/>
      <c r="X39" s="20"/>
      <c r="Y39" s="20"/>
      <c r="Z39" s="20"/>
    </row>
    <row r="40" spans="1:26" x14ac:dyDescent="0.25">
      <c r="A40" s="4"/>
      <c r="B40" s="4" t="s">
        <v>316</v>
      </c>
      <c r="E40" s="4" t="s">
        <v>416</v>
      </c>
      <c r="F40" s="4"/>
      <c r="G40" s="24">
        <v>1</v>
      </c>
      <c r="I40" s="20"/>
      <c r="J40" s="20"/>
      <c r="K40" s="20" t="str">
        <f>J9</f>
        <v>Scorpion Cults</v>
      </c>
      <c r="L40" s="20" t="s">
        <v>1084</v>
      </c>
      <c r="M40" s="20"/>
      <c r="N40" s="20"/>
      <c r="O40" s="20" t="s">
        <v>1205</v>
      </c>
      <c r="P40" s="20"/>
      <c r="Q40" s="20"/>
      <c r="R40" s="20"/>
      <c r="S40" s="20"/>
      <c r="T40" s="20"/>
      <c r="U40" s="20"/>
      <c r="V40" s="20"/>
      <c r="W40" s="20"/>
      <c r="X40" s="20"/>
      <c r="Y40" s="20"/>
      <c r="Z40" s="20"/>
    </row>
    <row r="41" spans="1:26" x14ac:dyDescent="0.25">
      <c r="A41" s="4"/>
      <c r="B41" s="4" t="s">
        <v>430</v>
      </c>
      <c r="E41" s="4" t="s">
        <v>416</v>
      </c>
      <c r="F41" s="4"/>
      <c r="G41" s="24">
        <v>0</v>
      </c>
      <c r="I41" s="20"/>
      <c r="J41" s="20"/>
      <c r="K41" s="20"/>
      <c r="L41" s="20" t="s">
        <v>1085</v>
      </c>
      <c r="M41" s="20"/>
      <c r="N41" s="20"/>
      <c r="O41" s="20" t="s">
        <v>1144</v>
      </c>
      <c r="P41" s="20"/>
      <c r="Q41" s="20"/>
      <c r="R41" s="20"/>
      <c r="S41" s="20"/>
      <c r="T41" s="20"/>
      <c r="U41" s="20"/>
      <c r="V41" s="20"/>
      <c r="W41" s="20"/>
      <c r="X41" s="20"/>
      <c r="Y41" s="20"/>
      <c r="Z41" s="20"/>
    </row>
    <row r="42" spans="1:26" x14ac:dyDescent="0.25">
      <c r="A42" s="4"/>
      <c r="B42" s="4" t="s">
        <v>431</v>
      </c>
      <c r="E42" s="4" t="s">
        <v>416</v>
      </c>
      <c r="F42" s="4"/>
      <c r="G42" s="24">
        <v>1</v>
      </c>
      <c r="I42" s="20"/>
      <c r="J42" s="20"/>
      <c r="K42" s="20"/>
      <c r="L42" s="20" t="s">
        <v>1086</v>
      </c>
      <c r="M42" s="20"/>
      <c r="N42" s="20"/>
      <c r="O42" s="20" t="s">
        <v>1152</v>
      </c>
      <c r="P42" s="20"/>
      <c r="Q42" s="20"/>
      <c r="R42" s="20"/>
      <c r="S42" s="20"/>
      <c r="T42" s="20"/>
      <c r="U42" s="20"/>
      <c r="V42" s="20"/>
      <c r="W42" s="20"/>
      <c r="X42" s="20"/>
      <c r="Y42" s="20"/>
      <c r="Z42" s="20"/>
    </row>
    <row r="43" spans="1:26" x14ac:dyDescent="0.25">
      <c r="A43" s="4"/>
      <c r="B43" s="4"/>
      <c r="E43" s="4"/>
      <c r="F43" s="4">
        <f>COUNTA(B31:B42)</f>
        <v>12</v>
      </c>
      <c r="I43" s="20"/>
      <c r="J43" s="20"/>
      <c r="K43" s="20"/>
      <c r="L43" s="20" t="s">
        <v>1087</v>
      </c>
      <c r="M43" s="20"/>
      <c r="N43" s="20"/>
      <c r="O43" s="20" t="s">
        <v>1288</v>
      </c>
      <c r="P43" s="20"/>
      <c r="Q43" s="20"/>
      <c r="R43" s="20"/>
      <c r="S43" s="20"/>
      <c r="T43" s="20"/>
      <c r="U43" s="20"/>
      <c r="V43" s="20"/>
      <c r="W43" s="20"/>
      <c r="X43" s="20"/>
      <c r="Y43" s="20"/>
      <c r="Z43" s="20"/>
    </row>
    <row r="44" spans="1:26" x14ac:dyDescent="0.25">
      <c r="A44" s="4">
        <v>2</v>
      </c>
      <c r="B44" s="4" t="s">
        <v>432</v>
      </c>
      <c r="E44" s="4" t="s">
        <v>419</v>
      </c>
      <c r="F44" s="4"/>
      <c r="G44" s="24">
        <v>1</v>
      </c>
      <c r="I44" s="20"/>
      <c r="J44" s="20"/>
      <c r="K44" s="20" t="str">
        <f>J10</f>
        <v>Snake Cults</v>
      </c>
      <c r="L44" s="20" t="s">
        <v>1077</v>
      </c>
      <c r="M44" s="20"/>
      <c r="N44" s="20"/>
      <c r="O44" s="20" t="s">
        <v>1145</v>
      </c>
      <c r="P44" s="20"/>
      <c r="Q44" s="20"/>
      <c r="R44" s="20"/>
      <c r="S44" s="20"/>
      <c r="T44" s="20"/>
      <c r="U44" s="20"/>
      <c r="V44" s="20"/>
      <c r="W44" s="20"/>
      <c r="X44" s="20"/>
      <c r="Y44" s="20"/>
      <c r="Z44" s="20"/>
    </row>
    <row r="45" spans="1:26" x14ac:dyDescent="0.25">
      <c r="A45" s="4"/>
      <c r="B45" s="4" t="s">
        <v>433</v>
      </c>
      <c r="E45" s="4" t="s">
        <v>419</v>
      </c>
      <c r="F45" s="4"/>
      <c r="G45" s="24">
        <v>0</v>
      </c>
      <c r="I45" s="20"/>
      <c r="J45" s="20"/>
      <c r="K45" s="20"/>
      <c r="L45" s="20" t="s">
        <v>1078</v>
      </c>
      <c r="M45" s="20"/>
      <c r="N45" s="20"/>
      <c r="O45" s="20" t="s">
        <v>1385</v>
      </c>
      <c r="P45" s="20"/>
      <c r="Q45" s="20"/>
      <c r="R45" s="20"/>
      <c r="S45" s="20"/>
      <c r="T45" s="20"/>
      <c r="U45" s="20"/>
      <c r="V45" s="20"/>
      <c r="W45" s="20"/>
      <c r="X45" s="20"/>
      <c r="Y45" s="20"/>
      <c r="Z45" s="20"/>
    </row>
    <row r="46" spans="1:26" x14ac:dyDescent="0.25">
      <c r="A46" s="4"/>
      <c r="B46" s="4" t="s">
        <v>434</v>
      </c>
      <c r="E46" s="4" t="s">
        <v>419</v>
      </c>
      <c r="F46" s="4"/>
      <c r="G46" s="24">
        <v>1</v>
      </c>
      <c r="I46" s="20"/>
      <c r="J46" s="20"/>
      <c r="K46" s="20"/>
      <c r="L46" s="20" t="s">
        <v>1079</v>
      </c>
      <c r="M46" s="20"/>
      <c r="N46" s="20"/>
      <c r="O46" s="20" t="s">
        <v>1203</v>
      </c>
      <c r="P46" s="20"/>
      <c r="Q46" s="20"/>
      <c r="R46" s="20"/>
      <c r="S46" s="20"/>
      <c r="T46" s="20"/>
      <c r="U46" s="20"/>
      <c r="V46" s="20"/>
      <c r="W46" s="20"/>
      <c r="X46" s="20"/>
      <c r="Y46" s="20"/>
      <c r="Z46" s="20"/>
    </row>
    <row r="47" spans="1:26" x14ac:dyDescent="0.25">
      <c r="A47" s="4"/>
      <c r="B47" s="4" t="s">
        <v>435</v>
      </c>
      <c r="E47" s="4" t="s">
        <v>419</v>
      </c>
      <c r="F47" s="4"/>
      <c r="G47" s="24">
        <v>0</v>
      </c>
      <c r="I47" s="20"/>
      <c r="J47" s="20"/>
      <c r="K47" s="20"/>
      <c r="L47" s="20" t="s">
        <v>1080</v>
      </c>
      <c r="M47" s="20"/>
      <c r="N47" s="20"/>
      <c r="O47" s="20" t="s">
        <v>1148</v>
      </c>
      <c r="P47" s="20"/>
      <c r="Q47" s="20"/>
      <c r="R47" s="20"/>
      <c r="S47" s="20"/>
      <c r="T47" s="20"/>
      <c r="U47" s="20"/>
      <c r="V47" s="20"/>
      <c r="W47" s="20"/>
      <c r="X47" s="20"/>
      <c r="Y47" s="20"/>
      <c r="Z47" s="20"/>
    </row>
    <row r="48" spans="1:26" x14ac:dyDescent="0.25">
      <c r="A48" s="4"/>
      <c r="B48" s="4" t="s">
        <v>436</v>
      </c>
      <c r="E48" s="4" t="s">
        <v>424</v>
      </c>
      <c r="F48" s="4"/>
      <c r="G48" s="24">
        <v>1</v>
      </c>
      <c r="I48" s="20"/>
      <c r="J48" s="20"/>
      <c r="K48" s="20"/>
      <c r="L48" s="20" t="s">
        <v>1081</v>
      </c>
      <c r="M48" s="20"/>
      <c r="N48" s="20"/>
      <c r="O48" s="20" t="s">
        <v>1135</v>
      </c>
      <c r="P48" s="20"/>
      <c r="Q48" s="20"/>
      <c r="R48" s="20"/>
      <c r="S48" s="20"/>
      <c r="T48" s="20"/>
      <c r="U48" s="20"/>
      <c r="V48" s="20"/>
      <c r="W48" s="20"/>
      <c r="X48" s="20"/>
      <c r="Y48" s="20"/>
      <c r="Z48" s="20"/>
    </row>
    <row r="49" spans="1:26" x14ac:dyDescent="0.25">
      <c r="A49" s="4"/>
      <c r="B49" s="4" t="s">
        <v>437</v>
      </c>
      <c r="E49" s="4" t="s">
        <v>424</v>
      </c>
      <c r="F49" s="4"/>
      <c r="G49" s="24">
        <v>1</v>
      </c>
      <c r="I49" s="20"/>
      <c r="J49" s="20"/>
      <c r="K49" s="20"/>
      <c r="L49" s="20" t="s">
        <v>1082</v>
      </c>
      <c r="M49" s="20"/>
      <c r="N49" s="20"/>
      <c r="O49" s="20" t="s">
        <v>1304</v>
      </c>
      <c r="P49" s="20"/>
      <c r="Q49" s="20"/>
      <c r="R49" s="20"/>
      <c r="S49" s="20"/>
      <c r="T49" s="20"/>
      <c r="U49" s="20"/>
      <c r="V49" s="20"/>
      <c r="W49" s="20"/>
      <c r="X49" s="20"/>
      <c r="Y49" s="20"/>
      <c r="Z49" s="20"/>
    </row>
    <row r="50" spans="1:26" x14ac:dyDescent="0.25">
      <c r="A50" s="4"/>
      <c r="B50" s="4" t="s">
        <v>172</v>
      </c>
      <c r="E50" s="4" t="s">
        <v>424</v>
      </c>
      <c r="F50" s="4"/>
      <c r="G50" s="24">
        <v>1</v>
      </c>
      <c r="I50" s="20"/>
      <c r="J50" s="20"/>
      <c r="K50" s="20"/>
      <c r="L50" s="20" t="s">
        <v>1199</v>
      </c>
      <c r="M50" s="20"/>
      <c r="N50" s="20"/>
      <c r="O50" s="20" t="s">
        <v>1142</v>
      </c>
      <c r="P50" s="20"/>
      <c r="Q50" s="20"/>
      <c r="R50" s="20"/>
      <c r="S50" s="20"/>
      <c r="T50" s="20"/>
      <c r="U50" s="20"/>
      <c r="V50" s="20"/>
      <c r="W50" s="20"/>
      <c r="X50" s="20"/>
      <c r="Y50" s="20"/>
      <c r="Z50" s="20"/>
    </row>
    <row r="51" spans="1:26" x14ac:dyDescent="0.25">
      <c r="A51" s="4"/>
      <c r="B51" s="4" t="s">
        <v>438</v>
      </c>
      <c r="E51" s="4" t="s">
        <v>427</v>
      </c>
      <c r="F51" s="4"/>
      <c r="G51" s="24">
        <v>1</v>
      </c>
      <c r="I51" s="20"/>
      <c r="J51" s="20"/>
      <c r="K51" s="20"/>
      <c r="L51" s="20" t="s">
        <v>1083</v>
      </c>
      <c r="M51" s="20"/>
      <c r="N51" s="20"/>
      <c r="O51" s="20" t="s">
        <v>1305</v>
      </c>
      <c r="P51" s="20"/>
      <c r="Q51" s="20"/>
      <c r="R51" s="20"/>
      <c r="S51" s="20"/>
      <c r="T51" s="20"/>
      <c r="U51" s="20"/>
      <c r="V51" s="20"/>
      <c r="W51" s="20"/>
      <c r="X51" s="20"/>
      <c r="Y51" s="20"/>
      <c r="Z51" s="20"/>
    </row>
    <row r="52" spans="1:26" x14ac:dyDescent="0.25">
      <c r="A52" s="4"/>
      <c r="B52" s="4" t="s">
        <v>439</v>
      </c>
      <c r="E52" s="4" t="s">
        <v>427</v>
      </c>
      <c r="F52" s="4"/>
      <c r="G52" s="24">
        <v>1</v>
      </c>
      <c r="I52" s="20"/>
      <c r="J52" s="20"/>
      <c r="K52" s="20" t="str">
        <f>J11</f>
        <v>Spider Cults</v>
      </c>
      <c r="L52" s="20" t="s">
        <v>1088</v>
      </c>
      <c r="M52" s="20"/>
      <c r="N52" s="20"/>
      <c r="O52" s="20" t="s">
        <v>1140</v>
      </c>
      <c r="P52" s="20"/>
      <c r="Q52" s="20"/>
      <c r="R52" s="20"/>
      <c r="S52" s="20"/>
      <c r="T52" s="20"/>
      <c r="U52" s="20"/>
      <c r="V52" s="20"/>
      <c r="W52" s="20"/>
      <c r="X52" s="20"/>
      <c r="Y52" s="20"/>
      <c r="Z52" s="20"/>
    </row>
    <row r="53" spans="1:26" x14ac:dyDescent="0.25">
      <c r="A53" s="4"/>
      <c r="B53" s="4" t="s">
        <v>440</v>
      </c>
      <c r="E53" s="4" t="s">
        <v>427</v>
      </c>
      <c r="F53" s="4"/>
      <c r="G53" s="24">
        <v>1</v>
      </c>
      <c r="I53" s="20"/>
      <c r="J53" s="20"/>
      <c r="K53" s="20"/>
      <c r="L53" s="20" t="s">
        <v>1058</v>
      </c>
      <c r="M53" s="20"/>
      <c r="N53" s="20"/>
      <c r="O53" s="20" t="s">
        <v>1208</v>
      </c>
      <c r="P53" s="20"/>
      <c r="Q53" s="20"/>
      <c r="R53" s="20"/>
      <c r="S53" s="20"/>
      <c r="T53" s="20"/>
      <c r="U53" s="20"/>
      <c r="V53" s="20"/>
      <c r="W53" s="20"/>
      <c r="X53" s="20"/>
      <c r="Y53" s="20"/>
      <c r="Z53" s="20"/>
    </row>
    <row r="54" spans="1:26" x14ac:dyDescent="0.25">
      <c r="A54" s="4"/>
      <c r="B54" s="4" t="s">
        <v>441</v>
      </c>
      <c r="E54" s="4" t="s">
        <v>427</v>
      </c>
      <c r="F54" s="4"/>
      <c r="G54" s="24">
        <v>1</v>
      </c>
      <c r="I54" s="20"/>
      <c r="J54" s="20"/>
      <c r="K54" s="20"/>
      <c r="L54" s="20" t="s">
        <v>1089</v>
      </c>
      <c r="M54" s="20"/>
      <c r="N54" s="20"/>
      <c r="O54" s="20" t="s">
        <v>221</v>
      </c>
      <c r="P54" s="20"/>
      <c r="Q54" s="20"/>
      <c r="R54" s="20"/>
      <c r="S54" s="20"/>
      <c r="T54" s="20"/>
      <c r="U54" s="20"/>
      <c r="V54" s="20"/>
      <c r="W54" s="20"/>
      <c r="X54" s="20"/>
      <c r="Y54" s="20"/>
      <c r="Z54" s="20"/>
    </row>
    <row r="55" spans="1:26" x14ac:dyDescent="0.25">
      <c r="A55" s="4"/>
      <c r="B55" s="4"/>
      <c r="E55" s="4"/>
      <c r="F55" s="4">
        <f>COUNTA(B44:B54)</f>
        <v>11</v>
      </c>
      <c r="I55" s="20"/>
      <c r="J55" s="20"/>
      <c r="K55" s="20"/>
      <c r="L55" s="20" t="s">
        <v>1059</v>
      </c>
      <c r="M55" s="20"/>
      <c r="N55" s="20"/>
      <c r="O55" s="20" t="s">
        <v>1134</v>
      </c>
      <c r="P55" s="20"/>
      <c r="Q55" s="20"/>
      <c r="R55" s="20"/>
      <c r="S55" s="20"/>
      <c r="T55" s="20"/>
      <c r="U55" s="20"/>
      <c r="V55" s="20"/>
      <c r="W55" s="20"/>
      <c r="X55" s="20"/>
      <c r="Y55" s="20"/>
      <c r="Z55" s="20"/>
    </row>
    <row r="56" spans="1:26" x14ac:dyDescent="0.25">
      <c r="A56" s="4">
        <v>3</v>
      </c>
      <c r="B56" s="4" t="s">
        <v>442</v>
      </c>
      <c r="E56" s="4" t="s">
        <v>419</v>
      </c>
      <c r="F56" s="4"/>
      <c r="G56" s="24">
        <v>0</v>
      </c>
      <c r="I56" s="20"/>
      <c r="J56" s="20"/>
      <c r="K56" s="20"/>
      <c r="L56" s="20" t="s">
        <v>1090</v>
      </c>
      <c r="M56" s="20"/>
      <c r="N56" s="20"/>
      <c r="O56" s="20" t="s">
        <v>1286</v>
      </c>
      <c r="P56" s="20"/>
      <c r="Q56" s="20"/>
      <c r="R56" s="20"/>
      <c r="S56" s="20"/>
      <c r="T56" s="20"/>
      <c r="U56" s="20"/>
      <c r="V56" s="20"/>
      <c r="W56" s="20"/>
      <c r="X56" s="20"/>
      <c r="Y56" s="20"/>
      <c r="Z56" s="20"/>
    </row>
    <row r="57" spans="1:26" x14ac:dyDescent="0.25">
      <c r="A57" s="4"/>
      <c r="B57" s="4" t="s">
        <v>443</v>
      </c>
      <c r="E57" s="4" t="s">
        <v>419</v>
      </c>
      <c r="F57" s="4"/>
      <c r="G57" s="24">
        <v>0</v>
      </c>
      <c r="I57" s="20"/>
      <c r="J57" s="20"/>
      <c r="K57" s="20"/>
      <c r="L57" s="20" t="s">
        <v>1056</v>
      </c>
      <c r="M57" s="20"/>
      <c r="N57" s="20"/>
      <c r="O57" s="20" t="s">
        <v>1382</v>
      </c>
      <c r="P57" s="20"/>
      <c r="Q57" s="20"/>
      <c r="R57" s="20"/>
      <c r="S57" s="20"/>
      <c r="T57" s="20"/>
      <c r="U57" s="20"/>
      <c r="V57" s="20"/>
      <c r="W57" s="20"/>
      <c r="X57" s="20"/>
      <c r="Y57" s="20"/>
      <c r="Z57" s="20"/>
    </row>
    <row r="58" spans="1:26" x14ac:dyDescent="0.25">
      <c r="A58" s="4"/>
      <c r="B58" s="4" t="s">
        <v>444</v>
      </c>
      <c r="E58" s="4" t="s">
        <v>419</v>
      </c>
      <c r="F58" s="4"/>
      <c r="G58" s="24">
        <v>1</v>
      </c>
      <c r="I58" s="20"/>
      <c r="J58" s="20"/>
      <c r="K58" s="20"/>
      <c r="L58" s="20" t="s">
        <v>1057</v>
      </c>
      <c r="M58" s="20"/>
      <c r="N58" s="20"/>
      <c r="O58" s="20" t="s">
        <v>1141</v>
      </c>
      <c r="P58" s="20"/>
      <c r="Q58" s="20"/>
      <c r="R58" s="20"/>
      <c r="S58" s="20"/>
      <c r="T58" s="20"/>
      <c r="U58" s="20"/>
      <c r="V58" s="20"/>
      <c r="W58" s="20"/>
      <c r="X58" s="20"/>
      <c r="Y58" s="20"/>
      <c r="Z58" s="20"/>
    </row>
    <row r="59" spans="1:26" x14ac:dyDescent="0.25">
      <c r="A59" s="4"/>
      <c r="B59" s="4" t="s">
        <v>331</v>
      </c>
      <c r="E59" s="4" t="s">
        <v>424</v>
      </c>
      <c r="F59" s="4"/>
      <c r="G59" s="24">
        <v>1</v>
      </c>
      <c r="I59" s="20"/>
      <c r="J59" s="20"/>
      <c r="K59" s="20" t="str">
        <f>J13</f>
        <v>Sandwalkers</v>
      </c>
      <c r="L59" s="20" t="s">
        <v>1093</v>
      </c>
      <c r="M59" s="20"/>
      <c r="N59" s="20"/>
      <c r="O59" s="20" t="s">
        <v>1154</v>
      </c>
      <c r="P59" s="20"/>
      <c r="Q59" s="20"/>
      <c r="R59" s="20"/>
      <c r="S59" s="20"/>
      <c r="T59" s="20"/>
      <c r="U59" s="20"/>
      <c r="V59" s="20"/>
      <c r="W59" s="20"/>
      <c r="X59" s="20"/>
      <c r="Y59" s="20"/>
      <c r="Z59" s="20"/>
    </row>
    <row r="60" spans="1:26" x14ac:dyDescent="0.25">
      <c r="A60" s="4"/>
      <c r="B60" s="4" t="s">
        <v>341</v>
      </c>
      <c r="E60" s="4" t="s">
        <v>424</v>
      </c>
      <c r="F60" s="4"/>
      <c r="G60" s="24">
        <v>0</v>
      </c>
      <c r="I60" s="20"/>
      <c r="J60" s="20"/>
      <c r="K60" s="20"/>
      <c r="L60" s="20" t="s">
        <v>1094</v>
      </c>
      <c r="M60" s="20"/>
      <c r="N60" s="20"/>
      <c r="O60" s="20" t="s">
        <v>1213</v>
      </c>
      <c r="P60" s="20"/>
      <c r="Q60" s="20"/>
      <c r="R60" s="20"/>
      <c r="S60" s="20"/>
      <c r="T60" s="20"/>
      <c r="U60" s="20"/>
      <c r="V60" s="20"/>
      <c r="W60" s="20"/>
      <c r="X60" s="20"/>
      <c r="Y60" s="20"/>
      <c r="Z60" s="20"/>
    </row>
    <row r="61" spans="1:26" x14ac:dyDescent="0.25">
      <c r="A61" s="4"/>
      <c r="B61" s="4" t="s">
        <v>445</v>
      </c>
      <c r="E61" s="4" t="s">
        <v>427</v>
      </c>
      <c r="F61" s="4"/>
      <c r="G61" s="24">
        <v>1</v>
      </c>
      <c r="I61" s="20"/>
      <c r="J61" s="20"/>
      <c r="K61" s="20"/>
      <c r="L61" s="20" t="s">
        <v>1095</v>
      </c>
      <c r="M61" s="20"/>
      <c r="N61" s="20"/>
      <c r="O61" s="20" t="s">
        <v>1386</v>
      </c>
      <c r="P61" s="20"/>
      <c r="Q61" s="20"/>
      <c r="R61" s="20"/>
      <c r="S61" s="20"/>
      <c r="T61" s="20"/>
      <c r="U61" s="20"/>
      <c r="V61" s="20"/>
      <c r="W61" s="20"/>
      <c r="X61" s="20"/>
      <c r="Y61" s="20"/>
      <c r="Z61" s="20"/>
    </row>
    <row r="62" spans="1:26" x14ac:dyDescent="0.25">
      <c r="A62" s="4"/>
      <c r="B62" s="4" t="s">
        <v>350</v>
      </c>
      <c r="E62" s="4" t="s">
        <v>427</v>
      </c>
      <c r="F62" s="4"/>
      <c r="G62" s="24">
        <v>0</v>
      </c>
      <c r="I62" s="20"/>
      <c r="J62" s="20"/>
      <c r="K62" s="20" t="str">
        <f>J14</f>
        <v>Readers of the Pattern</v>
      </c>
      <c r="L62" s="20" t="s">
        <v>1097</v>
      </c>
      <c r="M62" s="20"/>
      <c r="N62" s="20"/>
      <c r="O62" s="20" t="s">
        <v>1149</v>
      </c>
      <c r="P62" s="20"/>
      <c r="Q62" s="20"/>
      <c r="R62" s="20"/>
      <c r="S62" s="20"/>
      <c r="T62" s="20"/>
      <c r="U62" s="20"/>
      <c r="V62" s="20"/>
      <c r="W62" s="20"/>
      <c r="X62" s="20"/>
      <c r="Y62" s="20"/>
      <c r="Z62" s="20"/>
    </row>
    <row r="63" spans="1:26" x14ac:dyDescent="0.25">
      <c r="A63" s="4"/>
      <c r="B63" t="s">
        <v>446</v>
      </c>
      <c r="E63" t="s">
        <v>427</v>
      </c>
      <c r="F63" s="4"/>
      <c r="G63" s="24">
        <v>0</v>
      </c>
      <c r="I63" s="20"/>
      <c r="J63" s="20"/>
      <c r="K63" s="20"/>
      <c r="L63" s="20" t="s">
        <v>1098</v>
      </c>
      <c r="M63" s="20"/>
      <c r="N63" s="20"/>
      <c r="O63" s="20" t="s">
        <v>1155</v>
      </c>
      <c r="P63" s="20"/>
      <c r="Q63" s="20"/>
      <c r="R63" s="20"/>
      <c r="S63" s="20"/>
      <c r="T63" s="20"/>
      <c r="U63" s="20"/>
      <c r="V63" s="20"/>
      <c r="W63" s="20"/>
      <c r="X63" s="20"/>
      <c r="Y63" s="20"/>
      <c r="Z63" s="20"/>
    </row>
    <row r="64" spans="1:26" x14ac:dyDescent="0.25">
      <c r="A64" s="4"/>
      <c r="B64" s="4" t="s">
        <v>447</v>
      </c>
      <c r="E64" s="4" t="s">
        <v>427</v>
      </c>
      <c r="F64" s="4"/>
      <c r="G64" s="24">
        <v>0</v>
      </c>
      <c r="I64" s="20"/>
      <c r="J64" s="20"/>
      <c r="K64" s="20"/>
      <c r="L64" s="20" t="s">
        <v>1158</v>
      </c>
      <c r="M64" s="20"/>
      <c r="N64" s="20"/>
      <c r="O64" s="20" t="s">
        <v>1212</v>
      </c>
      <c r="P64" s="20"/>
      <c r="Q64" s="20"/>
      <c r="R64" s="20"/>
      <c r="S64" s="20"/>
      <c r="T64" s="20"/>
      <c r="U64" s="20"/>
      <c r="V64" s="20"/>
      <c r="W64" s="20"/>
      <c r="X64" s="20"/>
      <c r="Y64" s="20"/>
      <c r="Z64" s="20"/>
    </row>
    <row r="65" spans="1:26" x14ac:dyDescent="0.25">
      <c r="A65" s="4"/>
      <c r="B65" s="4" t="s">
        <v>448</v>
      </c>
      <c r="E65" s="4" t="s">
        <v>427</v>
      </c>
      <c r="F65" s="4"/>
      <c r="G65" s="24">
        <v>1</v>
      </c>
      <c r="I65" s="20"/>
      <c r="J65" s="20"/>
      <c r="K65" s="20"/>
      <c r="L65" s="20" t="s">
        <v>1214</v>
      </c>
      <c r="M65" s="20"/>
      <c r="N65" s="20"/>
      <c r="O65" s="20" t="s">
        <v>1383</v>
      </c>
      <c r="P65" s="20"/>
      <c r="Q65" s="20"/>
      <c r="R65" s="20"/>
      <c r="S65" s="20"/>
      <c r="T65" s="20"/>
      <c r="U65" s="20"/>
      <c r="V65" s="20"/>
      <c r="W65" s="20"/>
      <c r="X65" s="20"/>
      <c r="Y65" s="20"/>
      <c r="Z65" s="20"/>
    </row>
    <row r="66" spans="1:26" x14ac:dyDescent="0.25">
      <c r="A66" s="4"/>
      <c r="B66" s="4" t="s">
        <v>449</v>
      </c>
      <c r="E66" s="4" t="s">
        <v>416</v>
      </c>
      <c r="F66" s="4"/>
      <c r="G66" s="24">
        <v>0</v>
      </c>
      <c r="I66" s="20"/>
      <c r="J66" s="20"/>
      <c r="K66" s="20"/>
      <c r="L66" s="20" t="s">
        <v>1099</v>
      </c>
      <c r="M66" s="20"/>
      <c r="N66" s="20"/>
      <c r="O66" s="20" t="s">
        <v>1156</v>
      </c>
      <c r="P66" s="20"/>
      <c r="Q66" s="20"/>
      <c r="R66" s="20"/>
      <c r="S66" s="20"/>
      <c r="T66" s="20"/>
      <c r="U66" s="20"/>
      <c r="V66" s="20"/>
      <c r="W66" s="20"/>
      <c r="X66" s="20"/>
      <c r="Y66" s="20"/>
      <c r="Z66" s="20"/>
    </row>
    <row r="67" spans="1:26" x14ac:dyDescent="0.25">
      <c r="A67" s="4"/>
      <c r="B67" s="4" t="s">
        <v>450</v>
      </c>
      <c r="E67" s="4" t="s">
        <v>416</v>
      </c>
      <c r="F67" s="4"/>
      <c r="G67" s="24">
        <v>1</v>
      </c>
      <c r="I67" s="20"/>
      <c r="J67" s="20"/>
      <c r="K67" s="20"/>
      <c r="L67" s="20" t="s">
        <v>1216</v>
      </c>
      <c r="M67" s="20"/>
      <c r="N67" s="20"/>
      <c r="O67" s="20" t="s">
        <v>1287</v>
      </c>
      <c r="P67" s="20"/>
      <c r="Q67" s="20"/>
      <c r="R67" s="20"/>
      <c r="S67" s="20"/>
      <c r="T67" s="20"/>
      <c r="U67" s="20"/>
      <c r="V67" s="20"/>
      <c r="W67" s="20"/>
      <c r="X67" s="20"/>
      <c r="Y67" s="20"/>
      <c r="Z67" s="20"/>
    </row>
    <row r="68" spans="1:26" x14ac:dyDescent="0.25">
      <c r="A68" s="4"/>
      <c r="B68" s="4" t="s">
        <v>451</v>
      </c>
      <c r="E68" s="4" t="s">
        <v>416</v>
      </c>
      <c r="F68" s="4"/>
      <c r="G68" s="24">
        <v>1</v>
      </c>
      <c r="I68" s="20"/>
      <c r="J68" s="20"/>
      <c r="K68" s="20"/>
      <c r="L68" s="20" t="s">
        <v>1100</v>
      </c>
      <c r="M68" s="20"/>
      <c r="N68" s="20"/>
      <c r="O68" s="20" t="s">
        <v>1285</v>
      </c>
      <c r="P68" s="20"/>
      <c r="Q68" s="20"/>
      <c r="R68" s="20"/>
      <c r="S68" s="20"/>
      <c r="T68" s="20"/>
      <c r="U68" s="20"/>
      <c r="V68" s="20"/>
      <c r="W68" s="20"/>
      <c r="X68" s="20"/>
      <c r="Y68" s="20"/>
      <c r="Z68" s="20"/>
    </row>
    <row r="69" spans="1:26" x14ac:dyDescent="0.25">
      <c r="A69" s="4"/>
      <c r="B69" s="4" t="s">
        <v>349</v>
      </c>
      <c r="E69" s="4" t="s">
        <v>416</v>
      </c>
      <c r="F69" s="4"/>
      <c r="G69" s="24">
        <v>1</v>
      </c>
      <c r="I69" s="20"/>
      <c r="J69" s="20"/>
      <c r="K69" s="20"/>
      <c r="L69" s="20" t="s">
        <v>1225</v>
      </c>
      <c r="M69" s="20"/>
      <c r="N69" s="20"/>
      <c r="O69" s="20" t="s">
        <v>1219</v>
      </c>
      <c r="P69" s="20"/>
      <c r="Q69" s="20"/>
      <c r="R69" s="20"/>
      <c r="S69" s="20"/>
      <c r="T69" s="20"/>
      <c r="U69" s="20"/>
      <c r="V69" s="20"/>
      <c r="W69" s="20"/>
      <c r="X69" s="20"/>
      <c r="Y69" s="20"/>
      <c r="Z69" s="20"/>
    </row>
    <row r="70" spans="1:26" x14ac:dyDescent="0.25">
      <c r="A70" s="4"/>
      <c r="B70" s="4"/>
      <c r="E70" s="4"/>
      <c r="F70" s="4">
        <f>COUNTA(B56:B69)</f>
        <v>14</v>
      </c>
      <c r="I70" s="20"/>
      <c r="J70" s="20"/>
      <c r="K70" s="20" t="s">
        <v>932</v>
      </c>
      <c r="L70" s="20" t="s">
        <v>932</v>
      </c>
      <c r="M70" s="20"/>
      <c r="N70" s="20"/>
      <c r="O70" s="20" t="s">
        <v>1138</v>
      </c>
      <c r="P70" s="20"/>
      <c r="Q70" s="20"/>
      <c r="R70" s="20"/>
      <c r="S70" s="20"/>
      <c r="T70" s="20"/>
      <c r="U70" s="20"/>
      <c r="V70" s="20"/>
      <c r="W70" s="20"/>
      <c r="X70" s="20"/>
      <c r="Y70" s="20"/>
      <c r="Z70" s="20"/>
    </row>
    <row r="71" spans="1:26" x14ac:dyDescent="0.25">
      <c r="A71" s="4">
        <v>3</v>
      </c>
      <c r="B71" s="4" t="s">
        <v>452</v>
      </c>
      <c r="E71" s="4" t="s">
        <v>419</v>
      </c>
      <c r="F71" s="4">
        <v>2</v>
      </c>
      <c r="G71" s="24">
        <v>0</v>
      </c>
      <c r="I71" s="20"/>
      <c r="J71" s="20"/>
      <c r="K71" s="20"/>
      <c r="L71" s="20"/>
      <c r="M71" s="20"/>
      <c r="N71" s="20"/>
      <c r="O71" s="20" t="s">
        <v>1289</v>
      </c>
      <c r="P71" s="20"/>
      <c r="Q71" s="20"/>
      <c r="R71" s="20"/>
      <c r="S71" s="20"/>
      <c r="T71" s="20"/>
      <c r="U71" s="20"/>
      <c r="V71" s="20"/>
      <c r="W71" s="20"/>
      <c r="X71" s="20"/>
      <c r="Y71" s="20"/>
      <c r="Z71" s="20"/>
    </row>
    <row r="72" spans="1:26" x14ac:dyDescent="0.25">
      <c r="A72" s="4"/>
      <c r="B72" s="4"/>
      <c r="E72" s="4"/>
      <c r="F72" s="4"/>
      <c r="I72" s="20"/>
      <c r="J72" s="20"/>
      <c r="K72" s="20"/>
      <c r="L72" s="20"/>
      <c r="M72" s="20"/>
      <c r="N72" s="20"/>
      <c r="O72" s="20" t="s">
        <v>1209</v>
      </c>
      <c r="P72" s="20"/>
      <c r="Q72" s="20"/>
      <c r="R72" s="20"/>
      <c r="S72" s="20"/>
      <c r="T72" s="20"/>
      <c r="U72" s="20"/>
      <c r="V72" s="20"/>
      <c r="W72" s="20"/>
      <c r="X72" s="20"/>
      <c r="Y72" s="20"/>
      <c r="Z72" s="20"/>
    </row>
    <row r="73" spans="1:26" x14ac:dyDescent="0.25">
      <c r="A73" s="4">
        <v>4</v>
      </c>
      <c r="B73" s="4" t="s">
        <v>453</v>
      </c>
      <c r="E73" s="4" t="s">
        <v>419</v>
      </c>
      <c r="F73" s="4"/>
      <c r="G73" s="24">
        <v>0</v>
      </c>
      <c r="I73" s="20"/>
      <c r="J73" s="20"/>
      <c r="K73" s="20"/>
      <c r="L73" s="20"/>
      <c r="M73" s="20"/>
      <c r="N73" s="20"/>
      <c r="O73" s="20" t="s">
        <v>1150</v>
      </c>
      <c r="P73" s="20"/>
      <c r="Q73" s="20"/>
      <c r="R73" s="20"/>
      <c r="S73" s="20"/>
      <c r="T73" s="20"/>
      <c r="U73" s="20"/>
      <c r="V73" s="20"/>
      <c r="W73" s="20"/>
      <c r="X73" s="20"/>
      <c r="Y73" s="20"/>
      <c r="Z73" s="20"/>
    </row>
    <row r="74" spans="1:26" x14ac:dyDescent="0.25">
      <c r="A74" s="4"/>
      <c r="B74" s="4" t="s">
        <v>359</v>
      </c>
      <c r="E74" s="4" t="s">
        <v>424</v>
      </c>
      <c r="F74" s="4"/>
      <c r="G74" s="24">
        <v>0</v>
      </c>
      <c r="I74" s="20"/>
      <c r="J74" s="20"/>
      <c r="K74" s="20"/>
      <c r="L74" s="20"/>
      <c r="M74" s="20"/>
      <c r="N74" s="20"/>
      <c r="O74" s="20" t="s">
        <v>1184</v>
      </c>
      <c r="P74" s="20"/>
      <c r="Q74" s="20"/>
      <c r="R74" s="20"/>
      <c r="S74" s="20"/>
      <c r="T74" s="20"/>
      <c r="U74" s="20"/>
      <c r="V74" s="20"/>
      <c r="W74" s="20"/>
      <c r="X74" s="20"/>
      <c r="Y74" s="20"/>
      <c r="Z74" s="20"/>
    </row>
    <row r="75" spans="1:26" x14ac:dyDescent="0.25">
      <c r="A75" s="4"/>
      <c r="B75" s="4" t="s">
        <v>454</v>
      </c>
      <c r="E75" s="4" t="s">
        <v>424</v>
      </c>
      <c r="F75" s="4"/>
      <c r="G75" s="24">
        <v>0</v>
      </c>
      <c r="I75" s="20"/>
      <c r="J75" s="20"/>
      <c r="K75" s="20"/>
      <c r="L75" s="20"/>
      <c r="M75" s="20"/>
      <c r="N75" s="20"/>
      <c r="O75" s="20" t="s">
        <v>1224</v>
      </c>
      <c r="P75" s="20"/>
      <c r="Q75" s="20"/>
      <c r="R75" s="20"/>
      <c r="S75" s="20"/>
      <c r="T75" s="20"/>
      <c r="U75" s="20"/>
      <c r="V75" s="20"/>
      <c r="W75" s="20"/>
      <c r="X75" s="20"/>
      <c r="Y75" s="20"/>
      <c r="Z75" s="20"/>
    </row>
    <row r="76" spans="1:26" x14ac:dyDescent="0.25">
      <c r="A76" s="4"/>
      <c r="B76" s="4" t="s">
        <v>455</v>
      </c>
      <c r="E76" s="4" t="s">
        <v>424</v>
      </c>
      <c r="F76" s="4"/>
      <c r="G76" s="24">
        <v>0</v>
      </c>
      <c r="I76" s="20"/>
      <c r="J76" s="20"/>
      <c r="K76" s="20"/>
      <c r="L76" s="20"/>
      <c r="M76" s="20"/>
      <c r="N76" s="20" t="s">
        <v>1129</v>
      </c>
      <c r="O76" s="20" t="s">
        <v>1162</v>
      </c>
      <c r="P76" s="20"/>
      <c r="Q76" s="20"/>
      <c r="R76" s="20"/>
      <c r="S76" s="20"/>
      <c r="T76" s="20"/>
      <c r="U76" s="20"/>
      <c r="V76" s="20"/>
      <c r="W76" s="20"/>
      <c r="X76" s="20"/>
      <c r="Y76" s="20"/>
      <c r="Z76" s="20"/>
    </row>
    <row r="77" spans="1:26" x14ac:dyDescent="0.25">
      <c r="A77" s="4"/>
      <c r="B77" s="4" t="s">
        <v>456</v>
      </c>
      <c r="E77" s="4" t="s">
        <v>424</v>
      </c>
      <c r="F77" s="4"/>
      <c r="G77" s="24">
        <v>0</v>
      </c>
      <c r="I77" s="20"/>
      <c r="J77" s="20"/>
      <c r="K77" s="20"/>
      <c r="L77" s="20"/>
      <c r="M77" s="20"/>
      <c r="N77" s="20"/>
      <c r="O77" s="20" t="s">
        <v>1183</v>
      </c>
      <c r="P77" s="20"/>
      <c r="Q77" s="20"/>
      <c r="R77" s="20"/>
      <c r="S77" s="20"/>
      <c r="T77" s="20"/>
      <c r="U77" s="20"/>
      <c r="V77" s="20"/>
      <c r="W77" s="20"/>
      <c r="X77" s="20"/>
      <c r="Y77" s="20"/>
      <c r="Z77" s="20"/>
    </row>
    <row r="78" spans="1:26" x14ac:dyDescent="0.25">
      <c r="A78" s="4"/>
      <c r="B78" s="4" t="s">
        <v>457</v>
      </c>
      <c r="E78" s="4" t="s">
        <v>427</v>
      </c>
      <c r="F78" s="4"/>
      <c r="G78" s="24">
        <v>0</v>
      </c>
      <c r="I78" s="20"/>
      <c r="J78" s="20"/>
      <c r="K78" s="20"/>
      <c r="L78" s="20"/>
      <c r="M78" s="20"/>
      <c r="N78" s="20"/>
      <c r="O78" s="20" t="s">
        <v>1161</v>
      </c>
      <c r="P78" s="20"/>
      <c r="Q78" s="20"/>
      <c r="R78" s="20"/>
      <c r="S78" s="20"/>
      <c r="T78" s="20"/>
      <c r="U78" s="20"/>
      <c r="V78" s="20"/>
      <c r="W78" s="20"/>
      <c r="X78" s="20"/>
      <c r="Y78" s="20"/>
      <c r="Z78" s="20"/>
    </row>
    <row r="79" spans="1:26" x14ac:dyDescent="0.25">
      <c r="A79" s="4"/>
      <c r="B79" s="4" t="s">
        <v>458</v>
      </c>
      <c r="E79" s="4" t="s">
        <v>427</v>
      </c>
      <c r="F79" s="4"/>
      <c r="G79" s="24">
        <v>0</v>
      </c>
      <c r="I79" s="20"/>
      <c r="J79" s="20"/>
      <c r="K79" s="20"/>
      <c r="L79" s="20"/>
      <c r="M79" s="20"/>
      <c r="N79" s="20"/>
      <c r="O79" s="20" t="s">
        <v>1171</v>
      </c>
      <c r="P79" s="20"/>
      <c r="Q79" s="20"/>
      <c r="R79" s="20"/>
      <c r="S79" s="20"/>
      <c r="T79" s="20"/>
      <c r="U79" s="20"/>
      <c r="V79" s="20"/>
      <c r="W79" s="20"/>
      <c r="X79" s="20"/>
      <c r="Y79" s="20"/>
      <c r="Z79" s="20"/>
    </row>
    <row r="80" spans="1:26" x14ac:dyDescent="0.25">
      <c r="A80" s="4"/>
      <c r="B80" s="4" t="s">
        <v>459</v>
      </c>
      <c r="E80" s="4" t="s">
        <v>427</v>
      </c>
      <c r="F80" s="4"/>
      <c r="G80" s="24">
        <v>0</v>
      </c>
      <c r="I80" s="20"/>
      <c r="J80" s="20"/>
      <c r="K80" s="20"/>
      <c r="L80" s="20"/>
      <c r="M80" s="20"/>
      <c r="N80" s="20"/>
      <c r="O80" s="20" t="s">
        <v>1367</v>
      </c>
      <c r="P80" s="20"/>
      <c r="Q80" s="20"/>
      <c r="R80" s="20"/>
      <c r="S80" s="20"/>
      <c r="T80" s="20"/>
      <c r="U80" s="20"/>
      <c r="V80" s="20"/>
      <c r="W80" s="20"/>
      <c r="X80" s="20"/>
      <c r="Y80" s="20"/>
      <c r="Z80" s="20"/>
    </row>
    <row r="81" spans="1:26" x14ac:dyDescent="0.25">
      <c r="A81" s="4"/>
      <c r="B81" s="4" t="s">
        <v>460</v>
      </c>
      <c r="E81" s="4" t="s">
        <v>427</v>
      </c>
      <c r="F81" s="4"/>
      <c r="G81" s="24">
        <v>0</v>
      </c>
      <c r="I81" s="20"/>
      <c r="J81" s="20"/>
      <c r="K81" s="20"/>
      <c r="L81" s="20"/>
      <c r="M81" s="20"/>
      <c r="N81" s="20"/>
      <c r="O81" s="20" t="s">
        <v>1172</v>
      </c>
      <c r="P81" s="20"/>
      <c r="Q81" s="20"/>
      <c r="R81" s="20"/>
      <c r="S81" s="20"/>
      <c r="T81" s="20"/>
      <c r="U81" s="20"/>
      <c r="V81" s="20"/>
      <c r="W81" s="20"/>
      <c r="X81" s="20"/>
      <c r="Y81" s="20"/>
      <c r="Z81" s="20"/>
    </row>
    <row r="82" spans="1:26" x14ac:dyDescent="0.25">
      <c r="A82" s="4"/>
      <c r="B82" s="4" t="s">
        <v>461</v>
      </c>
      <c r="E82" s="4" t="s">
        <v>427</v>
      </c>
      <c r="F82" s="4"/>
      <c r="G82" s="24">
        <v>0</v>
      </c>
      <c r="I82" s="20"/>
      <c r="J82" s="20"/>
      <c r="K82" s="20"/>
      <c r="L82" s="20"/>
      <c r="M82" s="20"/>
      <c r="N82" s="20"/>
      <c r="O82" s="20" t="s">
        <v>1159</v>
      </c>
      <c r="P82" s="20"/>
      <c r="Q82" s="20"/>
      <c r="R82" s="20"/>
      <c r="S82" s="20"/>
      <c r="T82" s="20"/>
      <c r="U82" s="20"/>
      <c r="V82" s="20"/>
      <c r="W82" s="20"/>
      <c r="X82" s="20"/>
      <c r="Y82" s="20"/>
      <c r="Z82" s="20"/>
    </row>
    <row r="83" spans="1:26" x14ac:dyDescent="0.25">
      <c r="A83" s="4"/>
      <c r="B83" t="s">
        <v>462</v>
      </c>
      <c r="E83" t="s">
        <v>427</v>
      </c>
      <c r="G83" s="24">
        <v>0</v>
      </c>
      <c r="I83" s="20"/>
      <c r="J83" s="20"/>
      <c r="K83" s="20"/>
      <c r="L83" s="20"/>
      <c r="M83" s="20"/>
      <c r="N83" s="20"/>
      <c r="O83" s="20" t="s">
        <v>1169</v>
      </c>
      <c r="P83" s="20"/>
      <c r="Q83" s="20"/>
      <c r="R83" s="20"/>
      <c r="S83" s="20"/>
      <c r="T83" s="20"/>
      <c r="U83" s="20"/>
      <c r="V83" s="20"/>
      <c r="W83" s="20"/>
      <c r="X83" s="20"/>
      <c r="Y83" s="20"/>
      <c r="Z83" s="20"/>
    </row>
    <row r="84" spans="1:26" x14ac:dyDescent="0.25">
      <c r="A84" s="4"/>
      <c r="B84" t="s">
        <v>463</v>
      </c>
      <c r="E84" t="s">
        <v>427</v>
      </c>
      <c r="G84" s="24">
        <v>0</v>
      </c>
      <c r="I84" s="20"/>
      <c r="J84" s="20"/>
      <c r="K84" s="20"/>
      <c r="L84" s="20"/>
      <c r="M84" s="20"/>
      <c r="N84" s="20"/>
      <c r="O84" s="20" t="s">
        <v>1368</v>
      </c>
      <c r="P84" s="20"/>
      <c r="Q84" s="20"/>
      <c r="R84" s="20"/>
      <c r="S84" s="20"/>
      <c r="T84" s="20"/>
      <c r="U84" s="20"/>
      <c r="V84" s="20"/>
      <c r="W84" s="20"/>
      <c r="X84" s="20"/>
      <c r="Y84" s="20"/>
      <c r="Z84" s="20"/>
    </row>
    <row r="85" spans="1:26" x14ac:dyDescent="0.25">
      <c r="A85" s="4"/>
      <c r="B85" s="4" t="s">
        <v>464</v>
      </c>
      <c r="E85" s="4" t="s">
        <v>416</v>
      </c>
      <c r="F85" s="4"/>
      <c r="G85" s="24">
        <v>0</v>
      </c>
      <c r="I85" s="20"/>
      <c r="J85" s="20"/>
      <c r="K85" s="20"/>
      <c r="L85" s="20"/>
      <c r="M85" s="20"/>
      <c r="N85" s="20"/>
      <c r="O85" s="20" t="s">
        <v>1173</v>
      </c>
      <c r="P85" s="20"/>
      <c r="Q85" s="20"/>
      <c r="R85" s="20"/>
      <c r="S85" s="20"/>
      <c r="T85" s="20"/>
      <c r="U85" s="20"/>
      <c r="V85" s="20"/>
      <c r="W85" s="20"/>
      <c r="X85" s="20"/>
      <c r="Y85" s="20"/>
      <c r="Z85" s="20"/>
    </row>
    <row r="86" spans="1:26" x14ac:dyDescent="0.25">
      <c r="A86" s="4"/>
      <c r="B86" s="4"/>
      <c r="E86" s="4"/>
      <c r="F86" s="4">
        <f>COUNTA(B73:B85)</f>
        <v>13</v>
      </c>
      <c r="I86" s="20"/>
      <c r="J86" s="20"/>
      <c r="K86" s="20"/>
      <c r="L86" s="20"/>
      <c r="M86" s="20"/>
      <c r="N86" s="20"/>
      <c r="O86" s="20" t="s">
        <v>1369</v>
      </c>
      <c r="P86" s="20"/>
      <c r="Q86" s="20"/>
      <c r="R86" s="20"/>
      <c r="S86" s="20"/>
      <c r="T86" s="20"/>
      <c r="U86" s="20"/>
      <c r="V86" s="20"/>
      <c r="W86" s="20"/>
      <c r="X86" s="20"/>
      <c r="Y86" s="20"/>
      <c r="Z86" s="20"/>
    </row>
    <row r="87" spans="1:26" x14ac:dyDescent="0.25">
      <c r="A87" s="4">
        <v>5</v>
      </c>
      <c r="B87" s="4" t="s">
        <v>465</v>
      </c>
      <c r="E87" s="4" t="s">
        <v>424</v>
      </c>
      <c r="F87" s="4"/>
      <c r="G87" s="24">
        <v>0</v>
      </c>
      <c r="I87" s="20"/>
      <c r="J87" s="20"/>
      <c r="K87" s="20"/>
      <c r="L87" s="20"/>
      <c r="M87" s="20"/>
      <c r="N87" s="20"/>
      <c r="O87" s="20" t="s">
        <v>1370</v>
      </c>
      <c r="P87" s="20"/>
      <c r="Q87" s="20"/>
      <c r="R87" s="20"/>
      <c r="S87" s="20"/>
      <c r="T87" s="20"/>
      <c r="U87" s="20"/>
      <c r="V87" s="20"/>
      <c r="W87" s="20"/>
      <c r="X87" s="20"/>
      <c r="Y87" s="20"/>
      <c r="Z87" s="20"/>
    </row>
    <row r="88" spans="1:26" x14ac:dyDescent="0.25">
      <c r="A88" s="4"/>
      <c r="B88" s="4" t="s">
        <v>466</v>
      </c>
      <c r="E88" s="4" t="s">
        <v>427</v>
      </c>
      <c r="F88" s="4"/>
      <c r="G88" s="24">
        <v>0</v>
      </c>
      <c r="I88" s="20"/>
      <c r="J88" s="20"/>
      <c r="K88" s="20"/>
      <c r="L88" s="20"/>
      <c r="M88" s="20"/>
      <c r="N88" s="20"/>
      <c r="O88" s="20" t="s">
        <v>1168</v>
      </c>
      <c r="P88" s="20"/>
      <c r="Q88" s="20"/>
      <c r="R88" s="20"/>
      <c r="S88" s="20"/>
      <c r="T88" s="20"/>
      <c r="U88" s="20"/>
      <c r="V88" s="20"/>
      <c r="W88" s="20"/>
      <c r="X88" s="20"/>
      <c r="Y88" s="20"/>
      <c r="Z88" s="20"/>
    </row>
    <row r="89" spans="1:26" x14ac:dyDescent="0.25">
      <c r="A89" s="4"/>
      <c r="B89" s="4" t="s">
        <v>467</v>
      </c>
      <c r="E89" s="4" t="s">
        <v>427</v>
      </c>
      <c r="F89" s="4"/>
      <c r="G89" s="24">
        <v>0</v>
      </c>
      <c r="I89" s="20"/>
      <c r="J89" s="20"/>
      <c r="K89" s="20"/>
      <c r="L89" s="20"/>
      <c r="M89" s="20"/>
      <c r="N89" s="20"/>
      <c r="O89" s="20" t="s">
        <v>1174</v>
      </c>
      <c r="P89" s="20"/>
      <c r="Q89" s="20"/>
      <c r="R89" s="20"/>
      <c r="S89" s="20"/>
      <c r="T89" s="20"/>
      <c r="U89" s="20"/>
      <c r="V89" s="20"/>
      <c r="W89" s="20"/>
      <c r="X89" s="20"/>
      <c r="Y89" s="20"/>
      <c r="Z89" s="20"/>
    </row>
    <row r="90" spans="1:26" x14ac:dyDescent="0.25">
      <c r="A90" s="4"/>
      <c r="B90" s="4" t="s">
        <v>468</v>
      </c>
      <c r="E90" s="4" t="s">
        <v>427</v>
      </c>
      <c r="F90" s="4"/>
      <c r="G90" s="24">
        <v>0</v>
      </c>
      <c r="I90" s="20"/>
      <c r="J90" s="20"/>
      <c r="K90" s="20"/>
      <c r="L90" s="20"/>
      <c r="M90" s="20"/>
      <c r="N90" s="20"/>
      <c r="O90" s="20" t="s">
        <v>1182</v>
      </c>
      <c r="P90" s="20"/>
      <c r="Q90" s="20"/>
      <c r="R90" s="20"/>
      <c r="S90" s="20"/>
      <c r="T90" s="20"/>
      <c r="U90" s="20"/>
      <c r="V90" s="20"/>
      <c r="W90" s="20"/>
      <c r="X90" s="20"/>
      <c r="Y90" s="20"/>
      <c r="Z90" s="20"/>
    </row>
    <row r="91" spans="1:26" x14ac:dyDescent="0.25">
      <c r="A91" s="4"/>
      <c r="B91" s="4" t="s">
        <v>469</v>
      </c>
      <c r="E91" s="4" t="s">
        <v>427</v>
      </c>
      <c r="F91" s="4"/>
      <c r="G91" s="24">
        <v>0</v>
      </c>
      <c r="I91" s="20"/>
      <c r="J91" s="20"/>
      <c r="K91" s="20"/>
      <c r="L91" s="20"/>
      <c r="M91" s="20"/>
      <c r="N91" s="20"/>
      <c r="O91" s="20" t="s">
        <v>1164</v>
      </c>
      <c r="P91" s="20"/>
      <c r="Q91" s="20"/>
      <c r="R91" s="20"/>
      <c r="S91" s="20"/>
      <c r="T91" s="20"/>
      <c r="U91" s="20"/>
      <c r="V91" s="20"/>
      <c r="W91" s="20"/>
      <c r="X91" s="20"/>
      <c r="Y91" s="20"/>
      <c r="Z91" s="20"/>
    </row>
    <row r="92" spans="1:26" x14ac:dyDescent="0.25">
      <c r="A92" s="4"/>
      <c r="B92" s="4" t="s">
        <v>470</v>
      </c>
      <c r="E92" s="4" t="s">
        <v>427</v>
      </c>
      <c r="F92" s="4"/>
      <c r="G92" s="24">
        <v>0</v>
      </c>
      <c r="I92" s="20"/>
      <c r="J92" s="20"/>
      <c r="K92" s="20"/>
      <c r="L92" s="20"/>
      <c r="M92" s="20"/>
      <c r="N92" s="20"/>
      <c r="O92" s="20" t="s">
        <v>1167</v>
      </c>
      <c r="P92" s="20"/>
      <c r="Q92" s="20"/>
      <c r="R92" s="20"/>
      <c r="S92" s="20"/>
      <c r="T92" s="20"/>
      <c r="U92" s="20"/>
      <c r="V92" s="20"/>
      <c r="W92" s="20"/>
      <c r="X92" s="20"/>
      <c r="Y92" s="20"/>
      <c r="Z92" s="20"/>
    </row>
    <row r="93" spans="1:26" x14ac:dyDescent="0.25">
      <c r="A93" s="4"/>
      <c r="B93" t="s">
        <v>1349</v>
      </c>
      <c r="E93" s="4" t="s">
        <v>427</v>
      </c>
      <c r="F93" s="4"/>
      <c r="G93" s="24">
        <v>0</v>
      </c>
      <c r="I93" s="20"/>
      <c r="J93" s="20"/>
      <c r="K93" s="20"/>
      <c r="L93" s="20"/>
      <c r="M93" s="20"/>
      <c r="N93" s="20"/>
      <c r="O93" s="20" t="s">
        <v>1177</v>
      </c>
      <c r="P93" s="20"/>
      <c r="Q93" s="20"/>
      <c r="R93" s="20"/>
      <c r="S93" s="20"/>
      <c r="T93" s="20"/>
      <c r="U93" s="20"/>
      <c r="V93" s="20"/>
      <c r="W93" s="20"/>
      <c r="X93" s="20"/>
      <c r="Y93" s="20"/>
      <c r="Z93" s="20"/>
    </row>
    <row r="94" spans="1:26" x14ac:dyDescent="0.25">
      <c r="A94" s="4"/>
      <c r="B94" s="4" t="s">
        <v>471</v>
      </c>
      <c r="E94" s="4" t="s">
        <v>427</v>
      </c>
      <c r="F94" s="4"/>
      <c r="G94" s="24">
        <v>0</v>
      </c>
      <c r="I94" s="20"/>
      <c r="J94" s="20"/>
      <c r="K94" s="20"/>
      <c r="L94" s="20"/>
      <c r="M94" s="20"/>
      <c r="N94" s="20"/>
      <c r="O94" s="20" t="s">
        <v>395</v>
      </c>
      <c r="P94" s="20"/>
      <c r="Q94" s="20"/>
      <c r="R94" s="20"/>
      <c r="S94" s="20"/>
      <c r="T94" s="20"/>
      <c r="U94" s="20"/>
      <c r="V94" s="20"/>
      <c r="W94" s="20"/>
      <c r="X94" s="20"/>
      <c r="Y94" s="20"/>
      <c r="Z94" s="20"/>
    </row>
    <row r="95" spans="1:26" x14ac:dyDescent="0.25">
      <c r="A95" s="4"/>
      <c r="B95" s="4" t="s">
        <v>472</v>
      </c>
      <c r="E95" s="4" t="s">
        <v>416</v>
      </c>
      <c r="F95" s="4"/>
      <c r="G95" s="24">
        <v>0</v>
      </c>
      <c r="I95" s="20"/>
      <c r="J95" s="20"/>
      <c r="K95" s="20"/>
      <c r="L95" s="20"/>
      <c r="M95" s="20"/>
      <c r="N95" s="20"/>
      <c r="O95" s="20" t="s">
        <v>1180</v>
      </c>
      <c r="P95" s="20"/>
      <c r="Q95" s="20"/>
      <c r="R95" s="20"/>
      <c r="S95" s="20"/>
      <c r="T95" s="20"/>
      <c r="U95" s="20"/>
      <c r="V95" s="20"/>
      <c r="W95" s="20"/>
      <c r="X95" s="20"/>
      <c r="Y95" s="20"/>
      <c r="Z95" s="20"/>
    </row>
    <row r="96" spans="1:26" x14ac:dyDescent="0.25">
      <c r="A96" s="4"/>
      <c r="B96" s="4"/>
      <c r="E96" s="4"/>
      <c r="F96" s="4">
        <f>COUNTA(B87:B95)</f>
        <v>9</v>
      </c>
      <c r="I96" s="20"/>
      <c r="J96" s="20"/>
      <c r="K96" s="20"/>
      <c r="L96" s="20"/>
      <c r="M96" s="20"/>
      <c r="N96" s="20"/>
      <c r="O96" s="20" t="s">
        <v>1371</v>
      </c>
      <c r="P96" s="20"/>
      <c r="Q96" s="20"/>
      <c r="R96" s="20"/>
      <c r="S96" s="20"/>
      <c r="T96" s="20"/>
      <c r="U96" s="20"/>
      <c r="V96" s="20"/>
      <c r="W96" s="20"/>
      <c r="X96" s="20"/>
      <c r="Y96" s="20"/>
      <c r="Z96" s="20"/>
    </row>
    <row r="97" spans="1:26" x14ac:dyDescent="0.25">
      <c r="A97" s="4">
        <v>5</v>
      </c>
      <c r="B97" s="4" t="s">
        <v>473</v>
      </c>
      <c r="E97" s="4" t="s">
        <v>424</v>
      </c>
      <c r="F97" s="4">
        <v>2</v>
      </c>
      <c r="G97" s="24">
        <v>0</v>
      </c>
      <c r="I97" s="20"/>
      <c r="J97" s="20"/>
      <c r="K97" s="20"/>
      <c r="L97" s="20"/>
      <c r="M97" s="20"/>
      <c r="N97" s="20"/>
      <c r="O97" s="20" t="s">
        <v>1179</v>
      </c>
      <c r="P97" s="20"/>
      <c r="Q97" s="20"/>
      <c r="R97" s="20"/>
      <c r="S97" s="20"/>
      <c r="T97" s="20"/>
      <c r="U97" s="20"/>
      <c r="V97" s="20"/>
      <c r="W97" s="20"/>
      <c r="X97" s="20"/>
      <c r="Y97" s="20"/>
      <c r="Z97" s="20"/>
    </row>
    <row r="98" spans="1:26" x14ac:dyDescent="0.25">
      <c r="A98" s="4"/>
      <c r="B98" s="4"/>
      <c r="E98" s="4"/>
      <c r="F98" s="4"/>
      <c r="I98" s="20"/>
      <c r="J98" s="20"/>
      <c r="K98" s="20"/>
      <c r="L98" s="20"/>
      <c r="M98" s="20"/>
      <c r="N98" s="20"/>
      <c r="O98" s="20" t="s">
        <v>1372</v>
      </c>
      <c r="P98" s="20"/>
      <c r="Q98" s="20"/>
      <c r="R98" s="20"/>
      <c r="S98" s="20"/>
      <c r="T98" s="20"/>
      <c r="U98" s="20"/>
      <c r="V98" s="20"/>
      <c r="W98" s="20"/>
      <c r="X98" s="20"/>
      <c r="Y98" s="20"/>
      <c r="Z98" s="20"/>
    </row>
    <row r="99" spans="1:26" x14ac:dyDescent="0.25">
      <c r="A99" s="4">
        <v>6</v>
      </c>
      <c r="B99" s="4" t="s">
        <v>474</v>
      </c>
      <c r="E99" s="4" t="s">
        <v>419</v>
      </c>
      <c r="F99" s="4"/>
      <c r="G99" s="24">
        <v>0</v>
      </c>
      <c r="I99" s="20"/>
      <c r="J99" s="20"/>
      <c r="K99" s="20"/>
      <c r="L99" s="20"/>
      <c r="M99" s="20"/>
      <c r="N99" s="20"/>
      <c r="O99" s="20" t="s">
        <v>1373</v>
      </c>
      <c r="P99" s="20"/>
      <c r="Q99" s="20"/>
      <c r="R99" s="20"/>
      <c r="S99" s="20"/>
      <c r="T99" s="20"/>
      <c r="U99" s="20"/>
      <c r="V99" s="20"/>
      <c r="W99" s="20"/>
      <c r="X99" s="20"/>
      <c r="Y99" s="20"/>
      <c r="Z99" s="20"/>
    </row>
    <row r="100" spans="1:26" x14ac:dyDescent="0.25">
      <c r="A100" s="4"/>
      <c r="B100" s="4" t="s">
        <v>475</v>
      </c>
      <c r="E100" s="4" t="s">
        <v>424</v>
      </c>
      <c r="F100" s="4"/>
      <c r="G100" s="24">
        <v>0</v>
      </c>
      <c r="I100" s="20"/>
      <c r="J100" s="20"/>
      <c r="K100" s="20"/>
      <c r="L100" s="20"/>
      <c r="M100" s="20"/>
      <c r="N100" s="20"/>
      <c r="O100" s="20" t="s">
        <v>1165</v>
      </c>
      <c r="P100" s="20"/>
      <c r="Q100" s="20"/>
      <c r="R100" s="20"/>
      <c r="S100" s="20"/>
      <c r="T100" s="20"/>
      <c r="U100" s="20"/>
      <c r="V100" s="20"/>
      <c r="W100" s="20"/>
      <c r="X100" s="20"/>
      <c r="Y100" s="20"/>
      <c r="Z100" s="20"/>
    </row>
    <row r="101" spans="1:26" x14ac:dyDescent="0.25">
      <c r="A101" s="4"/>
      <c r="B101" s="4" t="s">
        <v>476</v>
      </c>
      <c r="E101" s="4" t="s">
        <v>427</v>
      </c>
      <c r="F101" s="4"/>
      <c r="G101" s="24">
        <v>0</v>
      </c>
      <c r="I101" s="20"/>
      <c r="J101" s="20"/>
      <c r="K101" s="20"/>
      <c r="L101" s="20"/>
      <c r="M101" s="20"/>
      <c r="N101" s="20"/>
      <c r="O101" s="20" t="s">
        <v>1374</v>
      </c>
      <c r="P101" s="20"/>
      <c r="Q101" s="20"/>
      <c r="R101" s="20"/>
      <c r="S101" s="20"/>
      <c r="T101" s="20"/>
      <c r="U101" s="20"/>
      <c r="V101" s="20"/>
      <c r="W101" s="20"/>
      <c r="X101" s="20"/>
      <c r="Y101" s="20"/>
      <c r="Z101" s="20"/>
    </row>
    <row r="102" spans="1:26" x14ac:dyDescent="0.25">
      <c r="A102" s="4"/>
      <c r="B102" s="4" t="s">
        <v>477</v>
      </c>
      <c r="E102" s="4" t="s">
        <v>427</v>
      </c>
      <c r="F102" s="4"/>
      <c r="G102" s="24">
        <v>0</v>
      </c>
      <c r="I102" s="20"/>
      <c r="J102" s="20"/>
      <c r="K102" s="20"/>
      <c r="L102" s="20"/>
      <c r="M102" s="20"/>
      <c r="N102" s="20"/>
      <c r="O102" s="20" t="s">
        <v>1176</v>
      </c>
      <c r="P102" s="20"/>
      <c r="Q102" s="20"/>
      <c r="R102" s="20"/>
      <c r="S102" s="20"/>
      <c r="T102" s="20"/>
      <c r="U102" s="20"/>
      <c r="V102" s="20"/>
      <c r="W102" s="20"/>
      <c r="X102" s="20"/>
      <c r="Y102" s="20"/>
      <c r="Z102" s="20"/>
    </row>
    <row r="103" spans="1:26" x14ac:dyDescent="0.25">
      <c r="A103" s="4"/>
      <c r="B103" s="4" t="s">
        <v>478</v>
      </c>
      <c r="E103" s="4" t="s">
        <v>427</v>
      </c>
      <c r="F103" s="4"/>
      <c r="G103" s="24">
        <v>0</v>
      </c>
      <c r="I103" s="20"/>
      <c r="J103" s="20"/>
      <c r="K103" s="20"/>
      <c r="L103" s="20"/>
      <c r="M103" s="20"/>
      <c r="N103" s="20"/>
      <c r="O103" s="20" t="s">
        <v>1166</v>
      </c>
      <c r="P103" s="20"/>
      <c r="Q103" s="20"/>
      <c r="R103" s="20"/>
      <c r="S103" s="20"/>
      <c r="T103" s="20"/>
      <c r="U103" s="20"/>
      <c r="V103" s="20"/>
      <c r="W103" s="20"/>
      <c r="X103" s="20"/>
      <c r="Y103" s="20"/>
      <c r="Z103" s="20"/>
    </row>
    <row r="104" spans="1:26" x14ac:dyDescent="0.25">
      <c r="A104" s="4"/>
      <c r="B104" s="4" t="s">
        <v>479</v>
      </c>
      <c r="E104" s="4" t="s">
        <v>416</v>
      </c>
      <c r="F104" s="4"/>
      <c r="G104" s="24">
        <v>0</v>
      </c>
      <c r="I104" s="20"/>
      <c r="J104" s="20"/>
      <c r="K104" s="20"/>
      <c r="L104" s="20"/>
      <c r="M104" s="20"/>
      <c r="N104" s="20"/>
      <c r="O104" s="20" t="s">
        <v>1375</v>
      </c>
      <c r="P104" s="20"/>
      <c r="Q104" s="20"/>
      <c r="R104" s="20"/>
      <c r="S104" s="20"/>
      <c r="T104" s="20"/>
      <c r="U104" s="20"/>
      <c r="V104" s="20"/>
      <c r="W104" s="20"/>
      <c r="X104" s="20"/>
      <c r="Y104" s="20"/>
      <c r="Z104" s="20"/>
    </row>
    <row r="105" spans="1:26" x14ac:dyDescent="0.25">
      <c r="A105" s="4"/>
      <c r="B105" s="4" t="s">
        <v>480</v>
      </c>
      <c r="E105" s="4" t="s">
        <v>416</v>
      </c>
      <c r="F105" s="4"/>
      <c r="G105" s="24">
        <v>0</v>
      </c>
      <c r="I105" s="20"/>
      <c r="J105" s="20"/>
      <c r="K105" s="20"/>
      <c r="L105" s="20"/>
      <c r="M105" s="20"/>
      <c r="N105" s="20"/>
      <c r="O105" s="20" t="s">
        <v>1175</v>
      </c>
      <c r="P105" s="20"/>
      <c r="Q105" s="20"/>
      <c r="R105" s="20"/>
      <c r="S105" s="20"/>
      <c r="T105" s="20"/>
      <c r="U105" s="20"/>
      <c r="V105" s="20"/>
      <c r="W105" s="20"/>
      <c r="X105" s="20"/>
      <c r="Y105" s="20"/>
      <c r="Z105" s="20"/>
    </row>
    <row r="106" spans="1:26" x14ac:dyDescent="0.25">
      <c r="A106" s="4"/>
      <c r="B106" s="4" t="s">
        <v>481</v>
      </c>
      <c r="E106" s="4" t="s">
        <v>416</v>
      </c>
      <c r="F106" s="4"/>
      <c r="G106" s="24">
        <v>0</v>
      </c>
      <c r="I106" s="20"/>
      <c r="J106" s="20"/>
      <c r="K106" s="20"/>
      <c r="L106" s="20"/>
      <c r="M106" s="20"/>
      <c r="N106" s="20"/>
      <c r="O106" s="20" t="s">
        <v>1376</v>
      </c>
      <c r="P106" s="20"/>
      <c r="Q106" s="20"/>
      <c r="R106" s="20"/>
      <c r="S106" s="20"/>
      <c r="T106" s="20"/>
      <c r="U106" s="20"/>
      <c r="V106" s="20"/>
      <c r="W106" s="20"/>
      <c r="X106" s="20"/>
      <c r="Y106" s="20"/>
      <c r="Z106" s="20"/>
    </row>
    <row r="107" spans="1:26" x14ac:dyDescent="0.25">
      <c r="A107" s="4"/>
      <c r="B107" s="4"/>
      <c r="E107" s="4"/>
      <c r="F107" s="4">
        <f>COUNTA(B99:B106)</f>
        <v>8</v>
      </c>
      <c r="I107" s="20"/>
      <c r="J107" s="20"/>
      <c r="K107" s="20"/>
      <c r="L107" s="20"/>
      <c r="M107" s="20"/>
      <c r="N107" s="20"/>
      <c r="O107" s="20" t="s">
        <v>1377</v>
      </c>
      <c r="P107" s="20"/>
      <c r="Q107" s="20"/>
      <c r="R107" s="20"/>
      <c r="S107" s="20"/>
      <c r="T107" s="20"/>
      <c r="U107" s="20"/>
      <c r="V107" s="20"/>
      <c r="W107" s="20"/>
      <c r="X107" s="20"/>
      <c r="Y107" s="20"/>
      <c r="Z107" s="20"/>
    </row>
    <row r="108" spans="1:26" x14ac:dyDescent="0.25">
      <c r="A108" s="14" t="s">
        <v>1327</v>
      </c>
      <c r="B108" s="4" t="s">
        <v>482</v>
      </c>
      <c r="E108" s="4" t="s">
        <v>483</v>
      </c>
      <c r="F108" s="4">
        <v>0</v>
      </c>
      <c r="G108">
        <v>0</v>
      </c>
      <c r="I108" s="20"/>
      <c r="J108" s="20"/>
      <c r="K108" s="20"/>
      <c r="L108" s="20"/>
      <c r="M108" s="20"/>
      <c r="N108" s="20"/>
      <c r="O108" s="20" t="s">
        <v>1160</v>
      </c>
      <c r="P108" s="20"/>
      <c r="Q108" s="20"/>
      <c r="R108" s="20"/>
      <c r="S108" s="20"/>
      <c r="T108" s="20"/>
      <c r="U108" s="20"/>
      <c r="V108" s="20"/>
      <c r="W108" s="20"/>
      <c r="X108" s="20"/>
      <c r="Y108" s="20"/>
      <c r="Z108" s="20"/>
    </row>
    <row r="109" spans="1:26" x14ac:dyDescent="0.25">
      <c r="A109" s="4"/>
      <c r="B109" s="4"/>
      <c r="E109" s="4"/>
      <c r="F109" s="4"/>
      <c r="I109" s="20"/>
      <c r="J109" s="20"/>
      <c r="K109" s="20"/>
      <c r="L109" s="20"/>
      <c r="M109" s="20"/>
      <c r="N109" s="20"/>
      <c r="O109" s="20" t="s">
        <v>1378</v>
      </c>
      <c r="P109" s="20"/>
      <c r="Q109" s="20"/>
      <c r="R109" s="20"/>
      <c r="S109" s="20"/>
      <c r="T109" s="20"/>
      <c r="U109" s="20"/>
      <c r="V109" s="20"/>
      <c r="W109" s="20"/>
      <c r="X109" s="20"/>
      <c r="Y109" s="20"/>
      <c r="Z109" s="20"/>
    </row>
    <row r="110" spans="1:26" x14ac:dyDescent="0.25">
      <c r="A110" s="4">
        <v>7</v>
      </c>
      <c r="B110" s="4" t="s">
        <v>484</v>
      </c>
      <c r="E110" s="4" t="s">
        <v>427</v>
      </c>
      <c r="F110" s="4"/>
      <c r="G110" s="24">
        <v>0</v>
      </c>
      <c r="I110" s="20"/>
      <c r="J110" s="20"/>
      <c r="K110" s="20"/>
      <c r="L110" s="20"/>
      <c r="M110" s="20"/>
      <c r="N110" s="20"/>
      <c r="O110" s="20" t="s">
        <v>1379</v>
      </c>
      <c r="P110" s="20"/>
      <c r="Q110" s="20"/>
      <c r="R110" s="20"/>
      <c r="S110" s="20"/>
      <c r="T110" s="20"/>
      <c r="U110" s="20"/>
      <c r="V110" s="20"/>
      <c r="W110" s="20"/>
      <c r="X110" s="20"/>
      <c r="Y110" s="20"/>
      <c r="Z110" s="20"/>
    </row>
    <row r="111" spans="1:26" x14ac:dyDescent="0.25">
      <c r="A111" s="4"/>
      <c r="B111" s="4" t="s">
        <v>485</v>
      </c>
      <c r="E111" s="4" t="s">
        <v>427</v>
      </c>
      <c r="F111" s="4"/>
      <c r="G111" s="24">
        <v>0</v>
      </c>
      <c r="I111" s="20"/>
      <c r="J111" s="20"/>
      <c r="K111" s="20"/>
      <c r="L111" s="20"/>
      <c r="M111" s="20"/>
      <c r="N111" s="20"/>
      <c r="O111" s="20" t="s">
        <v>1181</v>
      </c>
      <c r="P111" s="20"/>
      <c r="Q111" s="20"/>
      <c r="R111" s="20"/>
      <c r="S111" s="20"/>
      <c r="T111" s="20"/>
      <c r="U111" s="20"/>
      <c r="V111" s="20"/>
      <c r="W111" s="20"/>
      <c r="X111" s="20"/>
      <c r="Y111" s="20"/>
      <c r="Z111" s="20"/>
    </row>
    <row r="112" spans="1:26" x14ac:dyDescent="0.25">
      <c r="A112" s="4"/>
      <c r="B112" s="4" t="s">
        <v>486</v>
      </c>
      <c r="E112" s="4" t="s">
        <v>427</v>
      </c>
      <c r="F112" s="4"/>
      <c r="G112" s="24">
        <v>0</v>
      </c>
      <c r="I112" s="20"/>
      <c r="J112" s="20"/>
      <c r="K112" s="20"/>
      <c r="L112" s="20"/>
      <c r="M112" s="20"/>
      <c r="N112" s="20"/>
      <c r="O112" s="20" t="s">
        <v>1178</v>
      </c>
      <c r="P112" s="20"/>
      <c r="Q112" s="20"/>
      <c r="R112" s="20"/>
      <c r="S112" s="20"/>
      <c r="T112" s="20"/>
      <c r="U112" s="20"/>
      <c r="V112" s="20"/>
      <c r="W112" s="20"/>
      <c r="X112" s="20"/>
      <c r="Y112" s="20"/>
      <c r="Z112" s="20"/>
    </row>
    <row r="113" spans="1:26" x14ac:dyDescent="0.25">
      <c r="A113" s="4"/>
      <c r="B113" s="4" t="s">
        <v>487</v>
      </c>
      <c r="E113" s="4" t="s">
        <v>416</v>
      </c>
      <c r="F113" s="4"/>
      <c r="G113" s="24">
        <v>0</v>
      </c>
      <c r="I113" s="20"/>
      <c r="J113" s="20"/>
      <c r="K113" s="20"/>
      <c r="L113" s="20"/>
      <c r="M113" s="20"/>
      <c r="N113" s="20"/>
      <c r="O113" s="20" t="s">
        <v>1380</v>
      </c>
      <c r="P113" s="20"/>
      <c r="Q113" s="20"/>
      <c r="R113" s="20"/>
      <c r="S113" s="20"/>
      <c r="T113" s="20"/>
      <c r="U113" s="20"/>
      <c r="V113" s="20"/>
      <c r="W113" s="20"/>
      <c r="X113" s="20"/>
      <c r="Y113" s="20"/>
      <c r="Z113" s="20"/>
    </row>
    <row r="114" spans="1:26" x14ac:dyDescent="0.25">
      <c r="A114" s="4"/>
      <c r="B114" s="4" t="s">
        <v>488</v>
      </c>
      <c r="E114" s="4" t="s">
        <v>416</v>
      </c>
      <c r="F114" s="4"/>
      <c r="G114" s="24">
        <v>0</v>
      </c>
      <c r="I114" s="20"/>
      <c r="J114" s="20"/>
      <c r="K114" s="20"/>
      <c r="L114" s="20"/>
      <c r="M114" s="20"/>
      <c r="N114" s="20"/>
      <c r="O114" s="20" t="s">
        <v>1163</v>
      </c>
      <c r="P114" s="20"/>
      <c r="Q114" s="20"/>
      <c r="R114" s="20"/>
      <c r="S114" s="20"/>
      <c r="T114" s="20"/>
      <c r="U114" s="20"/>
      <c r="V114" s="20"/>
      <c r="W114" s="20"/>
      <c r="X114" s="20"/>
      <c r="Y114" s="20"/>
      <c r="Z114" s="20"/>
    </row>
    <row r="115" spans="1:26" x14ac:dyDescent="0.25">
      <c r="A115" s="4"/>
      <c r="B115" s="4" t="s">
        <v>489</v>
      </c>
      <c r="E115" s="4" t="s">
        <v>416</v>
      </c>
      <c r="F115" s="4"/>
      <c r="G115" s="24">
        <v>0</v>
      </c>
      <c r="I115" s="20"/>
      <c r="J115" s="20"/>
      <c r="K115" s="20"/>
      <c r="L115" s="20"/>
      <c r="M115" s="20"/>
      <c r="N115" s="20"/>
      <c r="O115" s="20" t="s">
        <v>1170</v>
      </c>
      <c r="P115" s="20"/>
      <c r="Q115" s="20"/>
      <c r="R115" s="20"/>
      <c r="S115" s="20"/>
      <c r="T115" s="20"/>
      <c r="U115" s="20"/>
      <c r="V115" s="20"/>
      <c r="W115" s="20"/>
      <c r="X115" s="20"/>
      <c r="Y115" s="20"/>
      <c r="Z115" s="20"/>
    </row>
    <row r="116" spans="1:26" x14ac:dyDescent="0.25">
      <c r="A116" s="4"/>
      <c r="B116" s="4" t="s">
        <v>490</v>
      </c>
      <c r="E116" s="4" t="s">
        <v>416</v>
      </c>
      <c r="F116" s="4"/>
      <c r="G116" s="24">
        <v>0</v>
      </c>
      <c r="I116" s="20"/>
      <c r="J116" s="20"/>
      <c r="K116" s="20"/>
      <c r="L116" s="20"/>
      <c r="M116" s="20"/>
      <c r="N116" s="20" t="s">
        <v>932</v>
      </c>
      <c r="O116" s="20" t="s">
        <v>932</v>
      </c>
      <c r="P116" s="20"/>
      <c r="Q116" s="20"/>
      <c r="R116" s="20"/>
      <c r="S116" s="20"/>
      <c r="T116" s="20"/>
      <c r="U116" s="20"/>
      <c r="V116" s="20"/>
      <c r="W116" s="20"/>
      <c r="X116" s="20"/>
      <c r="Y116" s="20"/>
      <c r="Z116" s="20"/>
    </row>
    <row r="117" spans="1:26" x14ac:dyDescent="0.25">
      <c r="A117" s="4"/>
      <c r="B117" s="4" t="s">
        <v>491</v>
      </c>
      <c r="E117" s="4" t="s">
        <v>416</v>
      </c>
      <c r="F117" s="4"/>
      <c r="G117" s="24">
        <v>0</v>
      </c>
      <c r="I117" s="20"/>
      <c r="J117" s="20"/>
      <c r="K117" s="20"/>
      <c r="L117" s="20"/>
      <c r="M117" s="20"/>
      <c r="N117" s="20"/>
      <c r="O117" s="20"/>
      <c r="P117" s="20"/>
      <c r="Q117" s="20"/>
      <c r="R117" s="20"/>
      <c r="S117" s="20"/>
      <c r="T117" s="20"/>
      <c r="U117" s="20"/>
      <c r="V117" s="20"/>
      <c r="W117" s="20"/>
      <c r="X117" s="20"/>
      <c r="Y117" s="20"/>
      <c r="Z117" s="20"/>
    </row>
    <row r="118" spans="1:26" x14ac:dyDescent="0.25">
      <c r="A118" s="4"/>
      <c r="B118" s="4" t="s">
        <v>492</v>
      </c>
      <c r="E118" s="4" t="s">
        <v>416</v>
      </c>
      <c r="F118" s="4"/>
      <c r="G118" s="24">
        <v>0</v>
      </c>
      <c r="I118" s="20"/>
      <c r="J118" s="20"/>
      <c r="K118" s="20"/>
      <c r="L118" s="20"/>
      <c r="M118" s="20"/>
      <c r="N118" s="20"/>
      <c r="O118" s="20"/>
      <c r="P118" s="20"/>
      <c r="Q118" s="20"/>
      <c r="R118" s="20"/>
      <c r="S118" s="20"/>
      <c r="T118" s="20"/>
      <c r="U118" s="20"/>
      <c r="V118" s="20"/>
      <c r="W118" s="20"/>
      <c r="X118" s="20"/>
      <c r="Y118" s="20"/>
      <c r="Z118" s="20"/>
    </row>
    <row r="119" spans="1:26" x14ac:dyDescent="0.25">
      <c r="A119" s="4"/>
      <c r="B119" s="4"/>
      <c r="E119" s="4"/>
      <c r="F119" s="4">
        <f>COUNTA(B110:B118)</f>
        <v>9</v>
      </c>
      <c r="I119" s="20"/>
      <c r="J119" s="20"/>
      <c r="K119" s="20"/>
      <c r="L119" s="20"/>
      <c r="M119" s="20"/>
      <c r="N119" s="20"/>
      <c r="O119" s="20"/>
      <c r="P119" s="20"/>
      <c r="Q119" s="20"/>
      <c r="R119" s="20"/>
      <c r="S119" s="20"/>
      <c r="T119" s="20"/>
      <c r="U119" s="20"/>
      <c r="V119" s="20"/>
      <c r="W119" s="20"/>
      <c r="X119" s="20"/>
      <c r="Y119" s="20"/>
      <c r="Z119" s="20"/>
    </row>
    <row r="120" spans="1:26" x14ac:dyDescent="0.25">
      <c r="A120" s="4">
        <v>7</v>
      </c>
      <c r="B120" s="4" t="s">
        <v>493</v>
      </c>
      <c r="E120" s="4" t="s">
        <v>427</v>
      </c>
      <c r="F120" s="4">
        <v>2</v>
      </c>
      <c r="G120" s="24">
        <v>0</v>
      </c>
      <c r="I120" s="20"/>
      <c r="J120" s="20"/>
      <c r="K120" s="20"/>
      <c r="L120" s="20"/>
      <c r="M120" s="20"/>
      <c r="N120" s="20"/>
      <c r="O120" s="20"/>
      <c r="P120" s="20"/>
      <c r="Q120" s="20"/>
      <c r="R120" s="20"/>
      <c r="S120" s="20"/>
      <c r="T120" s="20"/>
      <c r="U120" s="20"/>
      <c r="V120" s="20"/>
      <c r="W120" s="20"/>
      <c r="X120" s="20"/>
      <c r="Y120" s="20"/>
      <c r="Z120" s="20"/>
    </row>
    <row r="121" spans="1:26" x14ac:dyDescent="0.25">
      <c r="A121" s="4"/>
      <c r="B121" s="4"/>
      <c r="E121" s="4"/>
      <c r="F121" s="4"/>
      <c r="I121" s="20"/>
      <c r="J121" s="20"/>
      <c r="K121" s="20"/>
      <c r="L121" s="20"/>
      <c r="M121" s="20"/>
      <c r="N121" s="20"/>
      <c r="O121" s="20"/>
      <c r="P121" s="20"/>
      <c r="Q121" s="20"/>
      <c r="R121" s="20"/>
      <c r="S121" s="20"/>
      <c r="T121" s="20"/>
      <c r="U121" s="20"/>
      <c r="V121" s="20"/>
      <c r="W121" s="20"/>
      <c r="X121" s="20"/>
      <c r="Y121" s="20"/>
      <c r="Z121" s="20"/>
    </row>
    <row r="122" spans="1:26" x14ac:dyDescent="0.25">
      <c r="A122" s="4">
        <v>8</v>
      </c>
      <c r="B122" s="4" t="s">
        <v>494</v>
      </c>
      <c r="E122" s="4" t="s">
        <v>427</v>
      </c>
      <c r="F122" s="4"/>
      <c r="G122" s="24">
        <v>0</v>
      </c>
      <c r="I122" s="20"/>
      <c r="J122" s="20"/>
      <c r="K122" s="20"/>
      <c r="L122" s="20"/>
      <c r="M122" s="20"/>
      <c r="N122" s="20"/>
      <c r="O122" s="20"/>
      <c r="P122" s="20"/>
      <c r="Q122" s="20"/>
      <c r="R122" s="20"/>
      <c r="S122" s="20"/>
      <c r="T122" s="20"/>
      <c r="U122" s="20"/>
      <c r="V122" s="20"/>
      <c r="W122" s="20"/>
      <c r="X122" s="20"/>
      <c r="Y122" s="20"/>
      <c r="Z122" s="20"/>
    </row>
    <row r="123" spans="1:26" x14ac:dyDescent="0.25">
      <c r="A123" s="4"/>
      <c r="B123" s="4" t="s">
        <v>495</v>
      </c>
      <c r="E123" s="4" t="s">
        <v>427</v>
      </c>
      <c r="F123" s="4"/>
      <c r="G123" s="24">
        <v>0</v>
      </c>
      <c r="I123" s="20"/>
      <c r="J123" s="20"/>
      <c r="K123" s="20"/>
      <c r="L123" s="20"/>
      <c r="M123" s="20"/>
      <c r="N123" s="20"/>
      <c r="O123" s="20"/>
      <c r="P123" s="20"/>
      <c r="Q123" s="20"/>
      <c r="R123" s="20"/>
      <c r="S123" s="20"/>
      <c r="T123" s="20"/>
      <c r="U123" s="20"/>
      <c r="V123" s="20"/>
      <c r="W123" s="20"/>
      <c r="X123" s="20"/>
      <c r="Y123" s="20"/>
      <c r="Z123" s="20"/>
    </row>
    <row r="124" spans="1:26" x14ac:dyDescent="0.25">
      <c r="A124" s="4"/>
      <c r="B124" s="4" t="s">
        <v>496</v>
      </c>
      <c r="E124" s="4" t="s">
        <v>416</v>
      </c>
      <c r="F124" s="4"/>
      <c r="G124" s="24">
        <v>0</v>
      </c>
      <c r="I124" s="20"/>
      <c r="J124" s="20"/>
      <c r="K124" s="20"/>
      <c r="L124" s="20"/>
      <c r="M124" s="20"/>
      <c r="N124" s="20"/>
      <c r="O124" s="20"/>
      <c r="P124" s="20"/>
      <c r="Q124" s="20"/>
      <c r="R124" s="20"/>
      <c r="S124" s="20"/>
      <c r="T124" s="20"/>
      <c r="U124" s="20"/>
      <c r="V124" s="20"/>
      <c r="W124" s="20"/>
      <c r="X124" s="20"/>
      <c r="Y124" s="20"/>
      <c r="Z124" s="20"/>
    </row>
    <row r="125" spans="1:26" x14ac:dyDescent="0.25">
      <c r="A125" s="4"/>
      <c r="B125" s="4"/>
      <c r="E125" s="4"/>
      <c r="F125" s="4">
        <f>COUNTA(B122:B124)</f>
        <v>3</v>
      </c>
      <c r="I125" s="20"/>
      <c r="J125" s="20"/>
      <c r="K125" s="20"/>
      <c r="L125" s="20"/>
      <c r="M125" s="20"/>
      <c r="N125" s="20"/>
      <c r="O125" s="20"/>
      <c r="P125" s="20"/>
      <c r="Q125" s="20"/>
      <c r="R125" s="20"/>
      <c r="S125" s="20"/>
      <c r="T125" s="20"/>
      <c r="U125" s="20"/>
      <c r="V125" s="20"/>
      <c r="W125" s="20"/>
      <c r="X125" s="20"/>
      <c r="Y125" s="20"/>
      <c r="Z125" s="20"/>
    </row>
    <row r="126" spans="1:26" x14ac:dyDescent="0.25">
      <c r="A126" s="4">
        <v>9</v>
      </c>
      <c r="B126" s="4" t="s">
        <v>497</v>
      </c>
      <c r="E126" s="4" t="s">
        <v>427</v>
      </c>
      <c r="F126" s="4">
        <f>COUNTA(B126)</f>
        <v>1</v>
      </c>
      <c r="G126" s="24">
        <v>0</v>
      </c>
      <c r="I126" s="20"/>
      <c r="J126" s="20"/>
      <c r="K126" s="20"/>
      <c r="L126" s="20"/>
      <c r="M126" s="20"/>
      <c r="N126" s="20"/>
      <c r="O126" s="20"/>
      <c r="P126" s="20"/>
      <c r="Q126" s="20"/>
      <c r="R126" s="20"/>
      <c r="S126" s="20"/>
      <c r="T126" s="20"/>
      <c r="U126" s="20"/>
      <c r="V126" s="20"/>
      <c r="W126" s="20"/>
      <c r="X126" s="20"/>
      <c r="Y126" s="20"/>
      <c r="Z126" s="20"/>
    </row>
    <row r="127" spans="1:26" x14ac:dyDescent="0.25">
      <c r="A127" s="4"/>
      <c r="B127" s="4"/>
      <c r="E127" s="4"/>
      <c r="I127" s="20"/>
      <c r="J127" s="20"/>
      <c r="K127" s="20"/>
      <c r="L127" s="20"/>
      <c r="M127" s="20"/>
      <c r="N127" s="20"/>
      <c r="O127" s="20"/>
      <c r="P127" s="20"/>
      <c r="Q127" s="20"/>
      <c r="R127" s="20"/>
      <c r="S127" s="20"/>
      <c r="T127" s="20"/>
      <c r="U127" s="20"/>
      <c r="V127" s="20"/>
      <c r="W127" s="20"/>
      <c r="X127" s="20"/>
      <c r="Y127" s="20"/>
      <c r="Z127" s="20"/>
    </row>
    <row r="128" spans="1:26" x14ac:dyDescent="0.25">
      <c r="A128" s="4">
        <v>9</v>
      </c>
      <c r="B128" s="4" t="s">
        <v>498</v>
      </c>
      <c r="E128" s="4" t="s">
        <v>416</v>
      </c>
      <c r="F128" s="4">
        <v>2</v>
      </c>
      <c r="G128" s="24">
        <v>0</v>
      </c>
      <c r="H128" s="13"/>
      <c r="I128" s="20"/>
      <c r="J128" s="20"/>
      <c r="K128" s="20"/>
      <c r="L128" s="20"/>
      <c r="M128" s="20"/>
      <c r="N128" s="20"/>
      <c r="O128" s="20"/>
      <c r="P128" s="20"/>
      <c r="Q128" s="20"/>
      <c r="R128" s="20"/>
      <c r="S128" s="20"/>
      <c r="T128" s="20"/>
      <c r="U128" s="20"/>
      <c r="V128" s="20"/>
      <c r="W128" s="20"/>
      <c r="X128" s="20"/>
      <c r="Y128" s="20"/>
      <c r="Z128" s="20"/>
    </row>
    <row r="129" spans="1:26" x14ac:dyDescent="0.25">
      <c r="A129" s="4"/>
      <c r="B129" s="4"/>
      <c r="E129" s="4"/>
      <c r="F129" s="4"/>
      <c r="I129" s="20"/>
      <c r="J129" s="20"/>
      <c r="K129" s="20"/>
      <c r="L129" s="20"/>
      <c r="M129" s="20"/>
      <c r="N129" s="20"/>
      <c r="O129" s="20"/>
      <c r="P129" s="20"/>
      <c r="Q129" s="20"/>
      <c r="R129" s="20"/>
      <c r="S129" s="20"/>
      <c r="T129" s="20"/>
      <c r="U129" s="20"/>
      <c r="V129" s="20"/>
      <c r="W129" s="20"/>
      <c r="X129" s="20"/>
      <c r="Y129" s="20"/>
      <c r="Z129" s="20"/>
    </row>
    <row r="130" spans="1:26" x14ac:dyDescent="0.25">
      <c r="A130" s="243">
        <v>10</v>
      </c>
      <c r="B130" s="243" t="s">
        <v>499</v>
      </c>
      <c r="C130" s="244"/>
      <c r="D130" s="244"/>
      <c r="E130" s="243" t="s">
        <v>416</v>
      </c>
      <c r="F130" s="243">
        <f>COUNTA(B130)</f>
        <v>1</v>
      </c>
      <c r="G130" s="245">
        <v>0</v>
      </c>
      <c r="H130" s="243"/>
      <c r="I130" s="20"/>
      <c r="J130" s="20"/>
      <c r="K130" s="20"/>
      <c r="L130" s="20"/>
      <c r="M130" s="20"/>
      <c r="N130" s="20"/>
      <c r="O130" s="20"/>
      <c r="P130" s="20"/>
      <c r="Q130" s="20"/>
      <c r="R130" s="20"/>
      <c r="S130" s="20"/>
      <c r="T130" s="20"/>
      <c r="U130" s="20"/>
      <c r="V130" s="20"/>
      <c r="W130" s="20"/>
      <c r="X130" s="20"/>
      <c r="Y130" s="20"/>
      <c r="Z130" s="20"/>
    </row>
    <row r="131" spans="1:26" ht="16.5" thickBot="1" x14ac:dyDescent="0.3">
      <c r="A131" s="249"/>
      <c r="B131" s="246"/>
      <c r="C131" s="247"/>
      <c r="D131" s="250"/>
      <c r="E131" s="250" t="s">
        <v>500</v>
      </c>
      <c r="F131" s="251">
        <f>SUM(F25:F130)</f>
        <v>91</v>
      </c>
      <c r="G131" s="252">
        <f>SUM(G25:G130)</f>
        <v>24</v>
      </c>
      <c r="H131" s="248" t="s">
        <v>501</v>
      </c>
      <c r="I131" s="20"/>
      <c r="J131" s="20"/>
      <c r="K131" s="20"/>
      <c r="L131" s="20"/>
      <c r="M131" s="20"/>
      <c r="N131" s="20"/>
      <c r="O131" s="20"/>
      <c r="P131" s="20"/>
      <c r="Q131" s="20"/>
      <c r="R131" s="20"/>
      <c r="S131" s="20"/>
      <c r="T131" s="20"/>
      <c r="U131" s="20"/>
      <c r="V131" s="20"/>
      <c r="W131" s="20"/>
      <c r="X131" s="20"/>
      <c r="Y131" s="20"/>
      <c r="Z131" s="20"/>
    </row>
    <row r="132" spans="1:26" ht="16.5" thickTop="1" x14ac:dyDescent="0.25">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x14ac:dyDescent="0.25">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x14ac:dyDescent="0.25">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x14ac:dyDescent="0.25">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x14ac:dyDescent="0.25">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x14ac:dyDescent="0.25">
      <c r="A137" s="20"/>
      <c r="B137" s="20"/>
      <c r="C137" s="20"/>
      <c r="D137" s="20"/>
      <c r="E137" s="20"/>
      <c r="F137" s="20"/>
      <c r="G137" s="20"/>
      <c r="H137" s="34"/>
      <c r="I137" s="20"/>
      <c r="J137" s="20"/>
      <c r="K137" s="20"/>
      <c r="L137" s="20"/>
      <c r="M137" s="20"/>
      <c r="N137" s="20"/>
      <c r="O137" s="20"/>
      <c r="P137" s="20"/>
      <c r="Q137" s="20"/>
      <c r="R137" s="20"/>
      <c r="S137" s="20"/>
      <c r="T137" s="20"/>
      <c r="U137" s="20"/>
      <c r="V137" s="20"/>
      <c r="W137" s="20"/>
      <c r="X137" s="20"/>
      <c r="Y137" s="20"/>
      <c r="Z137" s="20"/>
    </row>
  </sheetData>
  <mergeCells count="1">
    <mergeCell ref="A3:B3"/>
  </mergeCells>
  <dataValidations count="6">
    <dataValidation type="list" allowBlank="1" showInputMessage="1" showErrorMessage="1" sqref="B6" xr:uid="{ED74B836-EAF5-45E9-B752-A9CB5FA1269E}">
      <formula1>$M$2:$M$27</formula1>
    </dataValidation>
    <dataValidation type="list" allowBlank="1" showInputMessage="1" showErrorMessage="1" sqref="B5" xr:uid="{E235A9CA-BB3F-4316-BF11-06E43CB3F148}">
      <formula1>$J$2:$J$16</formula1>
    </dataValidation>
    <dataValidation type="list" allowBlank="1" showInputMessage="1" showErrorMessage="1" sqref="G128 G120 G99:G101 G71 G97 G74:G75" xr:uid="{00000000-0002-0000-0500-000001000000}">
      <formula1>"0,2"</formula1>
    </dataValidation>
    <dataValidation type="list" allowBlank="1" showInputMessage="1" showErrorMessage="1" sqref="G130 G44:G54 G87:G95 G102:G106 G110:G118 G122:G124 G126 G28:G29 G31:G42 G56:G69 G76:G85 G73" xr:uid="{00000000-0002-0000-0500-000000000000}">
      <formula1>"0,1"</formula1>
    </dataValidation>
    <dataValidation type="list" allowBlank="1" showInputMessage="1" showErrorMessage="1" sqref="E5" xr:uid="{85F52B82-8F36-4162-989D-FCE4E01C8B6F}">
      <formula1>$L$2:$L$70</formula1>
    </dataValidation>
    <dataValidation type="list" allowBlank="1" showInputMessage="1" showErrorMessage="1" sqref="E6" xr:uid="{9F839CC8-D6F6-4C52-8D55-0B246EEBABA4}">
      <formula1>$O$2:$O$116</formula1>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C38EC-A872-41C5-8DCA-E17510968886}">
  <dimension ref="A1:Z105"/>
  <sheetViews>
    <sheetView workbookViewId="0"/>
  </sheetViews>
  <sheetFormatPr defaultRowHeight="15.75" x14ac:dyDescent="0.25"/>
  <sheetData>
    <row r="1" spans="1:23" x14ac:dyDescent="0.25">
      <c r="A1" s="3" t="str">
        <f>Name</f>
        <v>Name</v>
      </c>
      <c r="D1" s="7" t="s">
        <v>45</v>
      </c>
      <c r="E1" t="str">
        <f>Date</f>
        <v>26 XIV 2505</v>
      </c>
      <c r="I1" s="20"/>
      <c r="J1" s="21" t="s">
        <v>502</v>
      </c>
      <c r="K1" s="20"/>
      <c r="L1" s="20"/>
      <c r="M1" s="20"/>
      <c r="N1" s="20"/>
      <c r="O1" s="20"/>
      <c r="P1" s="20"/>
      <c r="Q1" s="20"/>
      <c r="R1" s="20"/>
      <c r="S1" s="20"/>
      <c r="T1" s="20"/>
      <c r="U1" s="20"/>
      <c r="V1" s="20"/>
      <c r="W1" s="20"/>
    </row>
    <row r="2" spans="1:23" x14ac:dyDescent="0.25">
      <c r="I2" s="20"/>
      <c r="J2" s="20"/>
      <c r="K2" s="20"/>
      <c r="L2" s="20"/>
      <c r="M2" s="20"/>
      <c r="N2" s="20"/>
      <c r="O2" s="20"/>
      <c r="P2" s="20"/>
      <c r="Q2" s="20"/>
      <c r="R2" s="20"/>
      <c r="S2" s="20"/>
      <c r="T2" s="20"/>
      <c r="U2" s="20"/>
      <c r="V2" s="20"/>
      <c r="W2" s="20"/>
    </row>
    <row r="3" spans="1:23" x14ac:dyDescent="0.25">
      <c r="A3" s="2" t="s">
        <v>503</v>
      </c>
      <c r="G3" s="5" t="s">
        <v>504</v>
      </c>
      <c r="H3" s="1">
        <f>ElL</f>
        <v>6.1</v>
      </c>
      <c r="I3" s="20"/>
      <c r="J3" s="20" t="s">
        <v>505</v>
      </c>
      <c r="K3" s="20" t="s">
        <v>506</v>
      </c>
      <c r="L3" s="20"/>
      <c r="M3" s="20"/>
      <c r="N3" s="20"/>
      <c r="O3" s="20"/>
      <c r="P3" s="20"/>
      <c r="Q3" s="20"/>
      <c r="R3" s="20"/>
      <c r="S3" s="20"/>
      <c r="T3" s="20"/>
      <c r="U3" s="20"/>
      <c r="V3" s="20"/>
      <c r="W3" s="20"/>
    </row>
    <row r="4" spans="1:23" x14ac:dyDescent="0.25">
      <c r="I4" s="20"/>
      <c r="J4" s="20"/>
      <c r="K4" s="20"/>
      <c r="L4" s="20"/>
      <c r="M4" s="20"/>
      <c r="N4" s="20"/>
      <c r="O4" s="20"/>
      <c r="P4" s="20"/>
      <c r="Q4" s="20"/>
      <c r="R4" s="20"/>
      <c r="S4" s="20"/>
      <c r="T4" s="20"/>
      <c r="U4" s="20"/>
      <c r="V4" s="20"/>
      <c r="W4" s="20"/>
    </row>
    <row r="5" spans="1:23" x14ac:dyDescent="0.25">
      <c r="A5" s="3" t="s">
        <v>407</v>
      </c>
      <c r="B5" s="3" t="s">
        <v>504</v>
      </c>
      <c r="C5">
        <f>ROUND(ElL,0)</f>
        <v>6</v>
      </c>
      <c r="D5" s="3" t="s">
        <v>507</v>
      </c>
      <c r="E5">
        <f ca="1">(C9+'Characteristics &amp; Experience'!C43)</f>
        <v>8</v>
      </c>
      <c r="F5" s="3" t="s">
        <v>508</v>
      </c>
      <c r="G5" s="3" t="s">
        <v>509</v>
      </c>
      <c r="H5">
        <f ca="1">(C$9+'Characteristics &amp; Experience'!C47)</f>
        <v>7</v>
      </c>
      <c r="I5" s="20"/>
      <c r="J5" s="20">
        <v>0</v>
      </c>
      <c r="K5" s="20">
        <v>0</v>
      </c>
      <c r="L5" s="20"/>
      <c r="M5" s="20"/>
      <c r="N5" s="20"/>
      <c r="O5" s="20"/>
      <c r="P5" s="20"/>
      <c r="Q5" s="20"/>
      <c r="R5" s="20"/>
      <c r="S5" s="20"/>
      <c r="T5" s="20"/>
      <c r="U5" s="20"/>
      <c r="V5" s="20"/>
      <c r="W5" s="20"/>
    </row>
    <row r="6" spans="1:23" x14ac:dyDescent="0.25">
      <c r="A6" s="3"/>
      <c r="B6" s="3" t="s">
        <v>510</v>
      </c>
      <c r="C6">
        <f ca="1">'Characteristics &amp; Experience'!C53</f>
        <v>0</v>
      </c>
      <c r="D6" s="3" t="s">
        <v>511</v>
      </c>
      <c r="E6">
        <f ca="1">(C9+'Characteristics &amp; Experience'!C56)</f>
        <v>7</v>
      </c>
      <c r="F6" s="3"/>
      <c r="G6" s="3" t="s">
        <v>512</v>
      </c>
      <c r="H6">
        <f ca="1">(C$9+'Characteristics &amp; Experience'!C48)</f>
        <v>9</v>
      </c>
      <c r="I6" s="20"/>
      <c r="J6" s="20">
        <v>1</v>
      </c>
      <c r="K6" s="20">
        <v>1</v>
      </c>
      <c r="L6" s="20"/>
      <c r="M6" s="20"/>
      <c r="N6" s="20"/>
      <c r="O6" s="20"/>
      <c r="P6" s="20"/>
      <c r="Q6" s="20"/>
      <c r="R6" s="20"/>
      <c r="S6" s="20"/>
      <c r="T6" s="20"/>
      <c r="U6" s="20"/>
      <c r="V6" s="20"/>
      <c r="W6" s="20"/>
    </row>
    <row r="7" spans="1:23" x14ac:dyDescent="0.25">
      <c r="A7" s="3"/>
      <c r="B7" s="3" t="s">
        <v>513</v>
      </c>
      <c r="C7">
        <f ca="1">'Characteristics &amp; Experience'!C54</f>
        <v>-1</v>
      </c>
      <c r="D7" s="3"/>
      <c r="F7" s="3"/>
      <c r="G7" s="3" t="s">
        <v>514</v>
      </c>
      <c r="H7">
        <f ca="1">(C$9+'Characteristics &amp; Experience'!C49)</f>
        <v>6</v>
      </c>
      <c r="I7" s="20"/>
      <c r="J7" s="20">
        <v>2</v>
      </c>
      <c r="K7" s="20">
        <v>2</v>
      </c>
      <c r="L7" s="20"/>
      <c r="M7" s="20"/>
      <c r="N7" s="20"/>
      <c r="O7" s="20"/>
      <c r="P7" s="20"/>
      <c r="Q7" s="20"/>
      <c r="R7" s="20"/>
      <c r="S7" s="20"/>
      <c r="T7" s="20"/>
      <c r="U7" s="20"/>
      <c r="V7" s="20"/>
      <c r="W7" s="20"/>
    </row>
    <row r="8" spans="1:23" x14ac:dyDescent="0.25">
      <c r="A8" s="3"/>
      <c r="B8" s="3" t="s">
        <v>515</v>
      </c>
      <c r="C8">
        <f ca="1">IF(USLs&gt;=0,ROUNDDOWN(USLs/5,0),ROUNDDOWN(USLs,0))</f>
        <v>1</v>
      </c>
      <c r="D8" s="3" t="s">
        <v>516</v>
      </c>
      <c r="E8">
        <f ca="1">(C9+'Characteristics &amp; Experience'!C55)</f>
        <v>7</v>
      </c>
      <c r="F8" s="3"/>
      <c r="G8" s="3" t="s">
        <v>517</v>
      </c>
      <c r="H8">
        <f ca="1">(C$9+'Characteristics &amp; Experience'!C50)</f>
        <v>7</v>
      </c>
      <c r="I8" s="20"/>
      <c r="J8" s="20">
        <v>3</v>
      </c>
      <c r="K8" s="20">
        <v>3</v>
      </c>
      <c r="L8" s="20"/>
      <c r="M8" s="20"/>
      <c r="N8" s="20"/>
      <c r="O8" s="20"/>
      <c r="P8" s="20"/>
      <c r="Q8" s="20"/>
      <c r="R8" s="20"/>
      <c r="S8" s="20"/>
      <c r="T8" s="20"/>
      <c r="U8" s="20"/>
      <c r="V8" s="20"/>
      <c r="W8" s="20"/>
    </row>
    <row r="9" spans="1:23" x14ac:dyDescent="0.25">
      <c r="A9" s="3" t="s">
        <v>411</v>
      </c>
      <c r="B9" s="3"/>
      <c r="C9">
        <f ca="1">SUM(C5:C8)</f>
        <v>6</v>
      </c>
      <c r="F9" s="3"/>
      <c r="G9" s="3" t="s">
        <v>518</v>
      </c>
      <c r="H9">
        <f ca="1">(C$9+'Characteristics &amp; Experience'!C51)</f>
        <v>6</v>
      </c>
      <c r="I9" s="20"/>
      <c r="J9" s="20">
        <v>4</v>
      </c>
      <c r="K9" s="20">
        <v>4</v>
      </c>
      <c r="L9" s="20"/>
      <c r="M9" s="20"/>
      <c r="N9" s="20"/>
      <c r="O9" s="20"/>
      <c r="P9" s="20"/>
      <c r="Q9" s="20"/>
      <c r="R9" s="20"/>
      <c r="S9" s="20"/>
      <c r="T9" s="20"/>
      <c r="U9" s="20"/>
      <c r="V9" s="20"/>
      <c r="W9" s="20"/>
    </row>
    <row r="10" spans="1:23" x14ac:dyDescent="0.25">
      <c r="I10" s="20"/>
      <c r="J10" s="20">
        <v>5</v>
      </c>
      <c r="K10" s="20">
        <v>5</v>
      </c>
      <c r="L10" s="20"/>
      <c r="M10" s="20"/>
      <c r="N10" s="20"/>
      <c r="O10" s="20"/>
      <c r="P10" s="20"/>
      <c r="Q10" s="20"/>
      <c r="R10" s="20"/>
      <c r="S10" s="20"/>
      <c r="T10" s="20"/>
      <c r="U10" s="20"/>
      <c r="V10" s="20"/>
      <c r="W10" s="20"/>
    </row>
    <row r="11" spans="1:23" x14ac:dyDescent="0.25">
      <c r="A11" s="3" t="s">
        <v>111</v>
      </c>
      <c r="B11" s="3" t="s">
        <v>302</v>
      </c>
      <c r="C11" s="3" t="s">
        <v>303</v>
      </c>
      <c r="D11" s="3"/>
      <c r="E11" s="3"/>
      <c r="F11" s="3" t="s">
        <v>116</v>
      </c>
      <c r="G11" s="3" t="s">
        <v>117</v>
      </c>
      <c r="H11" s="3" t="s">
        <v>519</v>
      </c>
      <c r="I11" s="21"/>
      <c r="J11" s="20">
        <v>6</v>
      </c>
      <c r="K11" s="20">
        <v>5</v>
      </c>
      <c r="L11" s="20"/>
      <c r="M11" s="20"/>
      <c r="N11" s="20"/>
      <c r="O11" s="20"/>
      <c r="P11" s="20"/>
      <c r="Q11" s="20"/>
      <c r="R11" s="20"/>
      <c r="S11" s="20"/>
      <c r="T11" s="20"/>
      <c r="U11" s="20"/>
      <c r="V11" s="20"/>
      <c r="W11" s="20"/>
    </row>
    <row r="12" spans="1:23" x14ac:dyDescent="0.25">
      <c r="E12" t="s">
        <v>520</v>
      </c>
      <c r="I12" s="21"/>
      <c r="J12" s="20">
        <v>7</v>
      </c>
      <c r="K12" s="20">
        <v>6</v>
      </c>
      <c r="L12" s="20"/>
      <c r="M12" s="20"/>
      <c r="N12" s="20"/>
      <c r="O12" s="20"/>
      <c r="P12" s="20"/>
      <c r="Q12" s="20"/>
      <c r="R12" s="20"/>
      <c r="S12" s="20"/>
      <c r="T12" s="20"/>
      <c r="U12" s="20"/>
      <c r="V12" s="20"/>
      <c r="W12" s="20"/>
    </row>
    <row r="13" spans="1:23" x14ac:dyDescent="0.25">
      <c r="A13" s="50" t="s">
        <v>521</v>
      </c>
      <c r="B13">
        <v>1</v>
      </c>
      <c r="C13" t="s">
        <v>522</v>
      </c>
      <c r="E13">
        <f t="shared" ref="E13:E22" si="0">B13*F13</f>
        <v>8.8000000000000007</v>
      </c>
      <c r="F13" s="35">
        <v>8.8000000000000007</v>
      </c>
      <c r="G13">
        <f t="shared" ref="G13:G22" si="1">VLOOKUP(F13,$J$5:$K$105,2)</f>
        <v>6</v>
      </c>
      <c r="H13">
        <f t="shared" ref="H13:H19" ca="1" si="2">E$5+G13</f>
        <v>14</v>
      </c>
      <c r="I13" s="21"/>
      <c r="J13" s="20">
        <v>8</v>
      </c>
      <c r="K13" s="20">
        <v>6</v>
      </c>
      <c r="L13" s="20"/>
      <c r="M13" s="20"/>
      <c r="N13" s="20"/>
      <c r="O13" s="20"/>
      <c r="P13" s="20"/>
      <c r="Q13" s="20"/>
      <c r="R13" s="20"/>
      <c r="S13" s="20"/>
      <c r="T13" s="20"/>
      <c r="U13" s="20"/>
      <c r="V13" s="20"/>
      <c r="W13" s="20"/>
    </row>
    <row r="14" spans="1:23" x14ac:dyDescent="0.25">
      <c r="A14" s="3"/>
      <c r="B14">
        <v>2</v>
      </c>
      <c r="C14" t="s">
        <v>523</v>
      </c>
      <c r="E14">
        <f t="shared" si="0"/>
        <v>10.8</v>
      </c>
      <c r="F14" s="35">
        <v>5.4</v>
      </c>
      <c r="G14">
        <f t="shared" si="1"/>
        <v>5</v>
      </c>
      <c r="H14">
        <f t="shared" ca="1" si="2"/>
        <v>13</v>
      </c>
      <c r="I14" s="21"/>
      <c r="J14" s="20">
        <v>9</v>
      </c>
      <c r="K14" s="20">
        <v>7</v>
      </c>
      <c r="L14" s="20"/>
      <c r="M14" s="20"/>
      <c r="N14" s="20"/>
      <c r="O14" s="20"/>
      <c r="P14" s="20"/>
      <c r="Q14" s="20"/>
      <c r="R14" s="20"/>
      <c r="S14" s="20"/>
      <c r="T14" s="20"/>
      <c r="U14" s="20"/>
      <c r="V14" s="20"/>
      <c r="W14" s="20"/>
    </row>
    <row r="15" spans="1:23" x14ac:dyDescent="0.25">
      <c r="A15" s="3"/>
      <c r="B15">
        <v>2</v>
      </c>
      <c r="C15" t="s">
        <v>524</v>
      </c>
      <c r="E15">
        <f t="shared" si="0"/>
        <v>10.8</v>
      </c>
      <c r="F15" s="35">
        <v>5.4</v>
      </c>
      <c r="G15">
        <f t="shared" si="1"/>
        <v>5</v>
      </c>
      <c r="H15">
        <f t="shared" ca="1" si="2"/>
        <v>13</v>
      </c>
      <c r="I15" s="21"/>
      <c r="J15" s="20">
        <v>10</v>
      </c>
      <c r="K15" s="20">
        <v>7</v>
      </c>
      <c r="L15" s="20"/>
      <c r="M15" s="20"/>
      <c r="N15" s="20"/>
      <c r="O15" s="20"/>
      <c r="P15" s="20"/>
      <c r="Q15" s="20"/>
      <c r="R15" s="20"/>
      <c r="S15" s="20"/>
      <c r="T15" s="20"/>
      <c r="U15" s="20"/>
      <c r="V15" s="20"/>
      <c r="W15" s="20"/>
    </row>
    <row r="16" spans="1:23" x14ac:dyDescent="0.25">
      <c r="A16" s="3"/>
      <c r="B16">
        <v>3</v>
      </c>
      <c r="C16" t="s">
        <v>367</v>
      </c>
      <c r="E16">
        <f t="shared" si="0"/>
        <v>14.399999999999999</v>
      </c>
      <c r="F16" s="35">
        <v>4.8</v>
      </c>
      <c r="G16">
        <f t="shared" si="1"/>
        <v>4</v>
      </c>
      <c r="H16">
        <f t="shared" ca="1" si="2"/>
        <v>12</v>
      </c>
      <c r="I16" s="21"/>
      <c r="J16" s="20">
        <v>11</v>
      </c>
      <c r="K16" s="20">
        <v>8</v>
      </c>
      <c r="L16" s="20"/>
      <c r="M16" s="20"/>
      <c r="N16" s="20"/>
      <c r="O16" s="20"/>
      <c r="P16" s="20"/>
      <c r="Q16" s="20"/>
      <c r="R16" s="20"/>
      <c r="S16" s="20"/>
      <c r="T16" s="20"/>
      <c r="U16" s="20"/>
      <c r="V16" s="20"/>
      <c r="W16" s="20"/>
    </row>
    <row r="17" spans="1:23" x14ac:dyDescent="0.25">
      <c r="A17" s="3"/>
      <c r="B17">
        <v>4</v>
      </c>
      <c r="C17" t="s">
        <v>525</v>
      </c>
      <c r="E17">
        <f t="shared" si="0"/>
        <v>15.2</v>
      </c>
      <c r="F17" s="35">
        <v>3.8</v>
      </c>
      <c r="G17">
        <f t="shared" si="1"/>
        <v>3</v>
      </c>
      <c r="H17">
        <f t="shared" ca="1" si="2"/>
        <v>11</v>
      </c>
      <c r="I17" s="21"/>
      <c r="J17" s="20">
        <v>12</v>
      </c>
      <c r="K17" s="20">
        <v>8</v>
      </c>
      <c r="L17" s="20"/>
      <c r="M17" s="20"/>
      <c r="N17" s="20"/>
      <c r="O17" s="20"/>
      <c r="P17" s="20"/>
      <c r="Q17" s="20"/>
      <c r="R17" s="20"/>
      <c r="S17" s="20"/>
      <c r="T17" s="20"/>
      <c r="U17" s="20"/>
      <c r="V17" s="20"/>
      <c r="W17" s="20"/>
    </row>
    <row r="18" spans="1:23" x14ac:dyDescent="0.25">
      <c r="A18" s="3"/>
      <c r="B18">
        <v>4</v>
      </c>
      <c r="C18" t="s">
        <v>339</v>
      </c>
      <c r="E18">
        <f t="shared" si="0"/>
        <v>19.2</v>
      </c>
      <c r="F18" s="35">
        <v>4.8</v>
      </c>
      <c r="G18">
        <f t="shared" si="1"/>
        <v>4</v>
      </c>
      <c r="H18">
        <f t="shared" ca="1" si="2"/>
        <v>12</v>
      </c>
      <c r="I18" s="21"/>
      <c r="J18" s="20">
        <v>13</v>
      </c>
      <c r="K18" s="20">
        <v>9</v>
      </c>
      <c r="L18" s="20"/>
      <c r="M18" s="20"/>
      <c r="N18" s="20"/>
      <c r="O18" s="20"/>
      <c r="P18" s="20"/>
      <c r="Q18" s="20"/>
      <c r="R18" s="20"/>
      <c r="S18" s="20"/>
      <c r="T18" s="20"/>
      <c r="U18" s="20"/>
      <c r="V18" s="20"/>
      <c r="W18" s="20"/>
    </row>
    <row r="19" spans="1:23" x14ac:dyDescent="0.25">
      <c r="A19" s="3"/>
      <c r="B19">
        <v>5</v>
      </c>
      <c r="C19" t="s">
        <v>526</v>
      </c>
      <c r="E19">
        <f t="shared" si="0"/>
        <v>63.5</v>
      </c>
      <c r="F19" s="35">
        <v>12.7</v>
      </c>
      <c r="G19">
        <f t="shared" si="1"/>
        <v>8</v>
      </c>
      <c r="H19">
        <f t="shared" ca="1" si="2"/>
        <v>16</v>
      </c>
      <c r="I19" s="21"/>
      <c r="J19" s="20">
        <v>14</v>
      </c>
      <c r="K19" s="20">
        <v>9</v>
      </c>
      <c r="L19" s="20"/>
      <c r="M19" s="20"/>
      <c r="N19" s="20"/>
      <c r="O19" s="20"/>
      <c r="P19" s="20"/>
      <c r="Q19" s="20"/>
      <c r="R19" s="20"/>
      <c r="S19" s="20"/>
      <c r="T19" s="20"/>
      <c r="U19" s="20"/>
      <c r="V19" s="20"/>
      <c r="W19" s="20"/>
    </row>
    <row r="20" spans="1:23" x14ac:dyDescent="0.25">
      <c r="A20" s="51" t="s">
        <v>527</v>
      </c>
      <c r="B20" s="24">
        <v>2</v>
      </c>
      <c r="C20" s="24" t="s">
        <v>528</v>
      </c>
      <c r="E20">
        <f t="shared" si="0"/>
        <v>21</v>
      </c>
      <c r="F20" s="35">
        <v>10.5</v>
      </c>
      <c r="G20">
        <f t="shared" si="1"/>
        <v>7</v>
      </c>
      <c r="H20">
        <f ca="1">E$6+G20</f>
        <v>14</v>
      </c>
      <c r="I20" s="21"/>
      <c r="J20" s="20">
        <v>15</v>
      </c>
      <c r="K20" s="20">
        <v>10</v>
      </c>
      <c r="L20" s="20"/>
      <c r="M20" s="20"/>
      <c r="N20" s="20"/>
      <c r="O20" s="20"/>
      <c r="P20" s="20"/>
      <c r="Q20" s="20"/>
      <c r="R20" s="20"/>
      <c r="S20" s="20"/>
      <c r="T20" s="20"/>
      <c r="U20" s="20"/>
      <c r="V20" s="20"/>
      <c r="W20" s="20"/>
    </row>
    <row r="21" spans="1:23" x14ac:dyDescent="0.25">
      <c r="A21" s="52" t="s">
        <v>529</v>
      </c>
      <c r="B21" s="24">
        <v>1</v>
      </c>
      <c r="C21" s="24" t="s">
        <v>530</v>
      </c>
      <c r="E21">
        <f t="shared" si="0"/>
        <v>24.1</v>
      </c>
      <c r="F21" s="35">
        <v>24.1</v>
      </c>
      <c r="G21">
        <f t="shared" si="1"/>
        <v>12</v>
      </c>
      <c r="H21">
        <f ca="1">C$9+G21</f>
        <v>18</v>
      </c>
      <c r="I21" s="21"/>
      <c r="J21" s="20">
        <v>16</v>
      </c>
      <c r="K21" s="20">
        <v>10</v>
      </c>
      <c r="L21" s="20"/>
      <c r="M21" s="20"/>
      <c r="N21" s="20"/>
      <c r="O21" s="20"/>
      <c r="P21" s="20"/>
      <c r="Q21" s="20"/>
      <c r="R21" s="20"/>
      <c r="S21" s="20"/>
      <c r="T21" s="20"/>
      <c r="U21" s="20"/>
      <c r="V21" s="20"/>
      <c r="W21" s="20"/>
    </row>
    <row r="22" spans="1:23" x14ac:dyDescent="0.25">
      <c r="A22" s="53" t="s">
        <v>531</v>
      </c>
      <c r="B22" s="24">
        <v>5</v>
      </c>
      <c r="C22" s="24" t="s">
        <v>532</v>
      </c>
      <c r="E22">
        <f t="shared" si="0"/>
        <v>45.5</v>
      </c>
      <c r="F22" s="35">
        <v>9.1</v>
      </c>
      <c r="G22">
        <f t="shared" si="1"/>
        <v>7</v>
      </c>
      <c r="H22">
        <f ca="1">E$8+G22</f>
        <v>14</v>
      </c>
      <c r="I22" s="21"/>
      <c r="J22" s="20">
        <v>17</v>
      </c>
      <c r="K22" s="20">
        <v>10</v>
      </c>
      <c r="L22" s="20"/>
      <c r="M22" s="20"/>
      <c r="N22" s="20"/>
      <c r="O22" s="20"/>
      <c r="P22" s="20"/>
      <c r="Q22" s="20"/>
      <c r="R22" s="20"/>
      <c r="S22" s="20"/>
      <c r="T22" s="20"/>
      <c r="U22" s="20"/>
      <c r="V22" s="20"/>
      <c r="W22" s="20"/>
    </row>
    <row r="23" spans="1:23" x14ac:dyDescent="0.25">
      <c r="I23" s="20"/>
      <c r="J23" s="20">
        <v>18</v>
      </c>
      <c r="K23" s="20">
        <v>10</v>
      </c>
      <c r="L23" s="20"/>
      <c r="M23" s="20"/>
      <c r="N23" s="20"/>
      <c r="O23" s="20"/>
      <c r="P23" s="20"/>
      <c r="Q23" s="20"/>
      <c r="R23" s="20"/>
      <c r="S23" s="20"/>
      <c r="T23" s="20"/>
      <c r="U23" s="20"/>
      <c r="V23" s="20"/>
      <c r="W23" s="20"/>
    </row>
    <row r="24" spans="1:23" x14ac:dyDescent="0.25">
      <c r="A24" s="3" t="s">
        <v>389</v>
      </c>
      <c r="B24">
        <f>SUM(B12:B23)</f>
        <v>29</v>
      </c>
      <c r="I24" s="20"/>
      <c r="J24" s="20">
        <v>19</v>
      </c>
      <c r="K24" s="20">
        <v>11</v>
      </c>
      <c r="L24" s="20"/>
      <c r="M24" s="20"/>
      <c r="N24" s="20"/>
      <c r="O24" s="20"/>
      <c r="P24" s="20"/>
      <c r="Q24" s="20"/>
      <c r="R24" s="20"/>
      <c r="S24" s="20"/>
      <c r="T24" s="20"/>
      <c r="U24" s="20"/>
      <c r="V24" s="20"/>
      <c r="W24" s="20"/>
    </row>
    <row r="25" spans="1:23" x14ac:dyDescent="0.25">
      <c r="I25" s="20"/>
      <c r="J25" s="20">
        <v>20</v>
      </c>
      <c r="K25" s="20">
        <v>11</v>
      </c>
      <c r="L25" s="20"/>
      <c r="M25" s="20"/>
      <c r="N25" s="20"/>
      <c r="O25" s="20"/>
      <c r="P25" s="20"/>
      <c r="Q25" s="20"/>
      <c r="R25" s="20"/>
      <c r="S25" s="20"/>
      <c r="T25" s="20"/>
      <c r="U25" s="20"/>
      <c r="V25" s="20"/>
      <c r="W25" s="20"/>
    </row>
    <row r="26" spans="1:23" x14ac:dyDescent="0.25">
      <c r="I26" s="20"/>
      <c r="J26" s="20">
        <v>21</v>
      </c>
      <c r="K26" s="20">
        <v>11</v>
      </c>
      <c r="L26" s="20"/>
      <c r="M26" s="20"/>
      <c r="N26" s="20"/>
      <c r="O26" s="20"/>
      <c r="P26" s="20"/>
      <c r="Q26" s="20"/>
      <c r="R26" s="20"/>
      <c r="S26" s="20"/>
      <c r="T26" s="20"/>
      <c r="U26" s="20"/>
      <c r="V26" s="20"/>
      <c r="W26" s="20"/>
    </row>
    <row r="27" spans="1:23" x14ac:dyDescent="0.25">
      <c r="A27" t="s">
        <v>533</v>
      </c>
      <c r="C27" t="s">
        <v>534</v>
      </c>
      <c r="D27" s="10">
        <f>(ElL*(ElL-1)/2)*15</f>
        <v>233.32499999999996</v>
      </c>
      <c r="E27" s="10">
        <f>SUM(E13:E26)</f>
        <v>233.29999999999998</v>
      </c>
      <c r="F27" t="s">
        <v>535</v>
      </c>
      <c r="I27" s="20"/>
      <c r="J27" s="20">
        <v>22</v>
      </c>
      <c r="K27" s="20">
        <v>11</v>
      </c>
      <c r="L27" s="20"/>
      <c r="M27" s="20"/>
      <c r="N27" s="20"/>
      <c r="O27" s="20"/>
      <c r="P27" s="20"/>
      <c r="Q27" s="20"/>
      <c r="R27" s="20"/>
      <c r="S27" s="20"/>
      <c r="T27" s="20"/>
      <c r="U27" s="20"/>
      <c r="V27" s="20"/>
      <c r="W27" s="20"/>
    </row>
    <row r="28" spans="1:23" x14ac:dyDescent="0.25">
      <c r="A28" s="20"/>
      <c r="B28" s="20"/>
      <c r="C28" s="20"/>
      <c r="D28" s="20"/>
      <c r="E28" s="20"/>
      <c r="F28" s="20"/>
      <c r="G28" s="20"/>
      <c r="H28" s="20"/>
      <c r="I28" s="20"/>
      <c r="J28" s="20">
        <v>23</v>
      </c>
      <c r="K28" s="20">
        <v>12</v>
      </c>
      <c r="L28" s="20"/>
      <c r="M28" s="20"/>
      <c r="N28" s="20"/>
      <c r="O28" s="20"/>
      <c r="P28" s="20"/>
      <c r="Q28" s="20"/>
      <c r="R28" s="20"/>
      <c r="S28" s="20"/>
      <c r="T28" s="20"/>
      <c r="U28" s="20"/>
      <c r="V28" s="20"/>
      <c r="W28" s="20"/>
    </row>
    <row r="29" spans="1:23" x14ac:dyDescent="0.25">
      <c r="A29" s="20"/>
      <c r="B29" s="20"/>
      <c r="C29" s="20"/>
      <c r="D29" s="20"/>
      <c r="E29" s="20"/>
      <c r="F29" s="20"/>
      <c r="G29" s="20"/>
      <c r="H29" s="20"/>
      <c r="I29" s="20"/>
      <c r="J29" s="20">
        <v>24</v>
      </c>
      <c r="K29" s="20">
        <v>12</v>
      </c>
      <c r="L29" s="20"/>
      <c r="M29" s="20"/>
      <c r="N29" s="20"/>
      <c r="O29" s="20"/>
      <c r="P29" s="20"/>
      <c r="Q29" s="20"/>
      <c r="R29" s="20"/>
      <c r="S29" s="20"/>
      <c r="T29" s="20"/>
      <c r="U29" s="20"/>
      <c r="V29" s="20"/>
      <c r="W29" s="20"/>
    </row>
    <row r="30" spans="1:23" x14ac:dyDescent="0.25">
      <c r="A30" s="21" t="s">
        <v>536</v>
      </c>
      <c r="B30" s="20"/>
      <c r="C30" s="20"/>
      <c r="D30" s="20"/>
      <c r="E30" s="20"/>
      <c r="F30" s="20"/>
      <c r="G30" s="20"/>
      <c r="H30" s="20"/>
      <c r="I30" s="20"/>
      <c r="J30" s="20">
        <v>25</v>
      </c>
      <c r="K30" s="20">
        <v>12</v>
      </c>
      <c r="L30" s="20"/>
      <c r="M30" s="20"/>
      <c r="N30" s="20"/>
      <c r="O30" s="20"/>
      <c r="P30" s="20"/>
      <c r="Q30" s="20"/>
      <c r="R30" s="20"/>
      <c r="S30" s="20"/>
      <c r="T30" s="20"/>
      <c r="U30" s="20"/>
      <c r="V30" s="20"/>
      <c r="W30" s="20"/>
    </row>
    <row r="31" spans="1:23" x14ac:dyDescent="0.25">
      <c r="A31" s="40" t="s">
        <v>537</v>
      </c>
      <c r="B31" s="20"/>
      <c r="C31" s="20"/>
      <c r="D31" s="20"/>
      <c r="E31" s="20"/>
      <c r="F31" s="20"/>
      <c r="G31" s="20"/>
      <c r="H31" s="20"/>
      <c r="I31" s="20"/>
      <c r="J31" s="20">
        <v>26</v>
      </c>
      <c r="K31" s="20">
        <v>12</v>
      </c>
      <c r="L31" s="20"/>
      <c r="M31" s="20"/>
      <c r="N31" s="20"/>
      <c r="O31" s="20"/>
      <c r="P31" s="20"/>
      <c r="Q31" s="20"/>
      <c r="R31" s="20"/>
      <c r="S31" s="20"/>
      <c r="T31" s="20"/>
      <c r="U31" s="20"/>
      <c r="V31" s="20"/>
      <c r="W31" s="20"/>
    </row>
    <row r="32" spans="1:23" x14ac:dyDescent="0.25">
      <c r="A32" s="41" t="s">
        <v>538</v>
      </c>
      <c r="B32" s="20"/>
      <c r="C32" s="20"/>
      <c r="D32" s="20"/>
      <c r="E32" s="20"/>
      <c r="F32" s="20"/>
      <c r="G32" s="20"/>
      <c r="H32" s="20"/>
      <c r="I32" s="20"/>
      <c r="J32" s="20">
        <v>27</v>
      </c>
      <c r="K32" s="20">
        <v>13</v>
      </c>
      <c r="L32" s="20"/>
      <c r="M32" s="20"/>
      <c r="N32" s="20"/>
      <c r="O32" s="20"/>
      <c r="P32" s="20"/>
      <c r="Q32" s="20"/>
      <c r="R32" s="20"/>
      <c r="S32" s="20"/>
      <c r="T32" s="20"/>
      <c r="U32" s="20"/>
      <c r="V32" s="20"/>
      <c r="W32" s="20"/>
    </row>
    <row r="33" spans="1:23" x14ac:dyDescent="0.25">
      <c r="A33" s="42" t="s">
        <v>529</v>
      </c>
      <c r="B33" s="20"/>
      <c r="C33" s="20"/>
      <c r="D33" s="20"/>
      <c r="E33" s="20"/>
      <c r="F33" s="20"/>
      <c r="G33" s="20"/>
      <c r="H33" s="20"/>
      <c r="I33" s="20"/>
      <c r="J33" s="20">
        <v>28</v>
      </c>
      <c r="K33" s="20">
        <v>13</v>
      </c>
      <c r="L33" s="20"/>
      <c r="M33" s="20"/>
      <c r="N33" s="20"/>
      <c r="O33" s="20"/>
      <c r="P33" s="20"/>
      <c r="Q33" s="20"/>
      <c r="R33" s="20"/>
      <c r="S33" s="20"/>
      <c r="T33" s="20"/>
      <c r="U33" s="20"/>
      <c r="V33" s="20"/>
      <c r="W33" s="20"/>
    </row>
    <row r="34" spans="1:23" x14ac:dyDescent="0.25">
      <c r="A34" s="43" t="s">
        <v>539</v>
      </c>
      <c r="B34" s="20"/>
      <c r="C34" s="20"/>
      <c r="D34" s="20"/>
      <c r="E34" s="20"/>
      <c r="F34" s="20"/>
      <c r="G34" s="20"/>
      <c r="H34" s="20"/>
      <c r="I34" s="20"/>
      <c r="J34" s="20">
        <v>29</v>
      </c>
      <c r="K34" s="20">
        <v>13</v>
      </c>
      <c r="L34" s="20"/>
      <c r="M34" s="20"/>
      <c r="N34" s="20"/>
      <c r="O34" s="20"/>
      <c r="P34" s="20"/>
      <c r="Q34" s="20"/>
      <c r="R34" s="20"/>
      <c r="S34" s="20"/>
      <c r="T34" s="20"/>
      <c r="U34" s="20"/>
      <c r="V34" s="20"/>
      <c r="W34" s="20"/>
    </row>
    <row r="35" spans="1:23" x14ac:dyDescent="0.25">
      <c r="A35" s="47" t="s">
        <v>540</v>
      </c>
      <c r="B35" s="20"/>
      <c r="C35" s="20"/>
      <c r="D35" s="20"/>
      <c r="E35" s="20"/>
      <c r="F35" s="20"/>
      <c r="G35" s="20"/>
      <c r="H35" s="20"/>
      <c r="I35" s="20"/>
      <c r="J35" s="20">
        <v>30</v>
      </c>
      <c r="K35" s="20">
        <v>13</v>
      </c>
      <c r="L35" s="20"/>
      <c r="M35" s="20"/>
      <c r="N35" s="20"/>
      <c r="O35" s="20"/>
      <c r="P35" s="20"/>
      <c r="Q35" s="20"/>
      <c r="R35" s="20"/>
      <c r="S35" s="20"/>
      <c r="T35" s="20"/>
      <c r="U35" s="20"/>
      <c r="V35" s="20"/>
      <c r="W35" s="20"/>
    </row>
    <row r="36" spans="1:23" x14ac:dyDescent="0.25">
      <c r="A36" s="48" t="s">
        <v>531</v>
      </c>
      <c r="B36" s="20"/>
      <c r="C36" s="20"/>
      <c r="D36" s="20"/>
      <c r="E36" s="20"/>
      <c r="F36" s="20"/>
      <c r="G36" s="20"/>
      <c r="H36" s="20"/>
      <c r="I36" s="20"/>
      <c r="J36" s="20">
        <v>31</v>
      </c>
      <c r="K36" s="20">
        <v>14</v>
      </c>
      <c r="L36" s="20"/>
      <c r="M36" s="20"/>
      <c r="N36" s="20"/>
      <c r="O36" s="20"/>
      <c r="P36" s="20"/>
      <c r="Q36" s="20"/>
      <c r="R36" s="20"/>
      <c r="S36" s="20"/>
      <c r="T36" s="20"/>
      <c r="U36" s="20"/>
      <c r="V36" s="20"/>
      <c r="W36" s="20"/>
    </row>
    <row r="37" spans="1:23" x14ac:dyDescent="0.25">
      <c r="A37" s="44" t="s">
        <v>521</v>
      </c>
      <c r="B37" s="20"/>
      <c r="C37" s="20"/>
      <c r="D37" s="20"/>
      <c r="E37" s="20"/>
      <c r="F37" s="20"/>
      <c r="G37" s="20"/>
      <c r="H37" s="20"/>
      <c r="I37" s="20"/>
      <c r="J37" s="20">
        <v>32</v>
      </c>
      <c r="K37" s="20">
        <v>14</v>
      </c>
      <c r="L37" s="20"/>
      <c r="M37" s="20"/>
      <c r="N37" s="20"/>
      <c r="O37" s="20"/>
      <c r="P37" s="20"/>
      <c r="Q37" s="20"/>
      <c r="R37" s="20"/>
      <c r="S37" s="20"/>
      <c r="T37" s="20"/>
      <c r="U37" s="20"/>
      <c r="V37" s="20"/>
      <c r="W37" s="20"/>
    </row>
    <row r="38" spans="1:23" x14ac:dyDescent="0.25">
      <c r="A38" s="45" t="s">
        <v>527</v>
      </c>
      <c r="B38" s="20"/>
      <c r="C38" s="20"/>
      <c r="D38" s="20"/>
      <c r="E38" s="20"/>
      <c r="F38" s="20"/>
      <c r="G38" s="20"/>
      <c r="H38" s="20"/>
      <c r="I38" s="20"/>
      <c r="J38" s="20">
        <v>33</v>
      </c>
      <c r="K38" s="20">
        <v>14</v>
      </c>
      <c r="L38" s="20"/>
      <c r="M38" s="20"/>
      <c r="N38" s="20"/>
      <c r="O38" s="20"/>
      <c r="P38" s="20"/>
      <c r="Q38" s="20"/>
      <c r="R38" s="20"/>
      <c r="S38" s="20"/>
      <c r="T38" s="20"/>
      <c r="U38" s="20"/>
      <c r="V38" s="20"/>
      <c r="W38" s="20"/>
    </row>
    <row r="39" spans="1:23" x14ac:dyDescent="0.25">
      <c r="A39" s="46" t="s">
        <v>541</v>
      </c>
      <c r="B39" s="20"/>
      <c r="C39" s="20"/>
      <c r="D39" s="20"/>
      <c r="E39" s="20"/>
      <c r="F39" s="20"/>
      <c r="G39" s="20"/>
      <c r="H39" s="20"/>
      <c r="I39" s="20"/>
      <c r="J39" s="20">
        <v>34</v>
      </c>
      <c r="K39" s="20">
        <v>14</v>
      </c>
      <c r="L39" s="20"/>
      <c r="M39" s="20"/>
      <c r="N39" s="20"/>
      <c r="O39" s="20"/>
      <c r="P39" s="20"/>
      <c r="Q39" s="20"/>
      <c r="R39" s="20"/>
      <c r="S39" s="20"/>
      <c r="T39" s="20"/>
      <c r="U39" s="20"/>
      <c r="V39" s="20"/>
      <c r="W39" s="20"/>
    </row>
    <row r="40" spans="1:23" x14ac:dyDescent="0.25">
      <c r="A40" s="49" t="s">
        <v>542</v>
      </c>
      <c r="B40" s="20"/>
      <c r="C40" s="20"/>
      <c r="D40" s="20"/>
      <c r="E40" s="20"/>
      <c r="F40" s="20"/>
      <c r="G40" s="20"/>
      <c r="H40" s="20"/>
      <c r="I40" s="20"/>
      <c r="J40" s="20">
        <v>35</v>
      </c>
      <c r="K40" s="20">
        <v>15</v>
      </c>
      <c r="L40" s="20"/>
      <c r="M40" s="20"/>
      <c r="N40" s="20"/>
      <c r="O40" s="20"/>
      <c r="P40" s="20"/>
      <c r="Q40" s="20"/>
      <c r="R40" s="20"/>
      <c r="S40" s="20"/>
      <c r="T40" s="20"/>
      <c r="U40" s="20"/>
      <c r="V40" s="20"/>
      <c r="W40" s="20"/>
    </row>
    <row r="41" spans="1:23" x14ac:dyDescent="0.25">
      <c r="A41" s="20"/>
      <c r="B41" s="20"/>
      <c r="C41" s="20"/>
      <c r="D41" s="20"/>
      <c r="E41" s="20"/>
      <c r="F41" s="20"/>
      <c r="G41" s="20"/>
      <c r="H41" s="20"/>
      <c r="I41" s="20"/>
      <c r="J41" s="20">
        <v>36</v>
      </c>
      <c r="K41" s="20">
        <v>15</v>
      </c>
      <c r="L41" s="20"/>
      <c r="M41" s="20"/>
      <c r="N41" s="20"/>
      <c r="O41" s="20"/>
      <c r="P41" s="20"/>
      <c r="Q41" s="20"/>
      <c r="R41" s="20"/>
      <c r="S41" s="20"/>
      <c r="T41" s="20"/>
      <c r="U41" s="20"/>
      <c r="V41" s="20"/>
      <c r="W41" s="20"/>
    </row>
    <row r="42" spans="1:23" x14ac:dyDescent="0.25">
      <c r="A42" s="20"/>
      <c r="B42" s="20"/>
      <c r="C42" s="20"/>
      <c r="D42" s="20"/>
      <c r="E42" s="20"/>
      <c r="F42" s="20"/>
      <c r="G42" s="20"/>
      <c r="H42" s="20"/>
      <c r="I42" s="20"/>
      <c r="J42" s="20">
        <v>37</v>
      </c>
      <c r="K42" s="20">
        <v>15</v>
      </c>
      <c r="L42" s="20"/>
      <c r="M42" s="20"/>
      <c r="N42" s="20"/>
      <c r="O42" s="20"/>
      <c r="P42" s="20"/>
      <c r="Q42" s="20"/>
      <c r="R42" s="20"/>
      <c r="S42" s="20"/>
      <c r="T42" s="20"/>
      <c r="U42" s="20"/>
      <c r="V42" s="20"/>
      <c r="W42" s="20"/>
    </row>
    <row r="43" spans="1:23" x14ac:dyDescent="0.25">
      <c r="A43" s="20"/>
      <c r="B43" s="20"/>
      <c r="C43" s="20"/>
      <c r="D43" s="20"/>
      <c r="E43" s="20"/>
      <c r="F43" s="20"/>
      <c r="G43" s="20"/>
      <c r="H43" s="20"/>
      <c r="I43" s="20"/>
      <c r="J43" s="20">
        <v>38</v>
      </c>
      <c r="K43" s="20">
        <v>15</v>
      </c>
      <c r="L43" s="20"/>
      <c r="M43" s="20"/>
      <c r="N43" s="20"/>
      <c r="O43" s="20"/>
      <c r="P43" s="20"/>
      <c r="Q43" s="20"/>
      <c r="R43" s="20"/>
      <c r="S43" s="20"/>
      <c r="T43" s="20"/>
      <c r="U43" s="20"/>
      <c r="V43" s="20"/>
      <c r="W43" s="20"/>
    </row>
    <row r="44" spans="1:23" x14ac:dyDescent="0.25">
      <c r="A44" s="20"/>
      <c r="B44" s="20"/>
      <c r="C44" s="20"/>
      <c r="D44" s="20"/>
      <c r="E44" s="20"/>
      <c r="F44" s="20"/>
      <c r="G44" s="20"/>
      <c r="H44" s="20"/>
      <c r="I44" s="20"/>
      <c r="J44" s="20">
        <v>39</v>
      </c>
      <c r="K44" s="20">
        <v>15</v>
      </c>
      <c r="L44" s="20"/>
      <c r="M44" s="20"/>
      <c r="N44" s="20"/>
      <c r="O44" s="20"/>
      <c r="P44" s="20"/>
      <c r="Q44" s="20"/>
      <c r="R44" s="20"/>
      <c r="S44" s="20"/>
      <c r="T44" s="20"/>
      <c r="U44" s="20"/>
      <c r="V44" s="20"/>
      <c r="W44" s="20"/>
    </row>
    <row r="45" spans="1:23" x14ac:dyDescent="0.25">
      <c r="A45" s="20"/>
      <c r="B45" s="20"/>
      <c r="C45" s="20"/>
      <c r="D45" s="20"/>
      <c r="E45" s="20"/>
      <c r="F45" s="20"/>
      <c r="G45" s="20"/>
      <c r="H45" s="20"/>
      <c r="I45" s="20"/>
      <c r="J45" s="20">
        <v>40</v>
      </c>
      <c r="K45" s="20">
        <v>15</v>
      </c>
      <c r="L45" s="20"/>
      <c r="M45" s="20"/>
      <c r="N45" s="20"/>
      <c r="O45" s="20"/>
      <c r="P45" s="20"/>
      <c r="Q45" s="20"/>
      <c r="R45" s="20"/>
      <c r="S45" s="20"/>
      <c r="T45" s="20"/>
      <c r="U45" s="20"/>
      <c r="V45" s="20"/>
      <c r="W45" s="20"/>
    </row>
    <row r="46" spans="1:23" x14ac:dyDescent="0.25">
      <c r="A46" s="20"/>
      <c r="B46" s="20"/>
      <c r="C46" s="20"/>
      <c r="D46" s="20"/>
      <c r="E46" s="20"/>
      <c r="F46" s="20"/>
      <c r="G46" s="20"/>
      <c r="H46" s="20"/>
      <c r="I46" s="20"/>
      <c r="J46" s="20">
        <v>41</v>
      </c>
      <c r="K46" s="20">
        <v>15</v>
      </c>
      <c r="L46" s="20"/>
      <c r="M46" s="20"/>
      <c r="N46" s="20"/>
      <c r="O46" s="20"/>
      <c r="P46" s="20"/>
      <c r="Q46" s="20"/>
      <c r="R46" s="20"/>
      <c r="S46" s="20"/>
      <c r="T46" s="20"/>
      <c r="U46" s="20"/>
      <c r="V46" s="20"/>
      <c r="W46" s="20"/>
    </row>
    <row r="47" spans="1:23" x14ac:dyDescent="0.25">
      <c r="A47" s="20"/>
      <c r="B47" s="20"/>
      <c r="C47" s="20"/>
      <c r="D47" s="20"/>
      <c r="E47" s="20"/>
      <c r="F47" s="20"/>
      <c r="G47" s="20"/>
      <c r="H47" s="20"/>
      <c r="I47" s="20"/>
      <c r="J47" s="20">
        <v>42</v>
      </c>
      <c r="K47" s="20">
        <v>15</v>
      </c>
      <c r="L47" s="20"/>
      <c r="M47" s="20"/>
      <c r="N47" s="20"/>
      <c r="O47" s="20"/>
      <c r="P47" s="20"/>
      <c r="Q47" s="20"/>
      <c r="R47" s="20"/>
      <c r="S47" s="20"/>
      <c r="T47" s="20"/>
      <c r="U47" s="20"/>
      <c r="V47" s="20"/>
      <c r="W47" s="20"/>
    </row>
    <row r="48" spans="1:23" x14ac:dyDescent="0.25">
      <c r="A48" s="20"/>
      <c r="B48" s="20"/>
      <c r="C48" s="20"/>
      <c r="D48" s="20"/>
      <c r="E48" s="20"/>
      <c r="F48" s="20"/>
      <c r="G48" s="20"/>
      <c r="H48" s="20"/>
      <c r="I48" s="20"/>
      <c r="J48" s="20">
        <v>43</v>
      </c>
      <c r="K48" s="20">
        <v>16</v>
      </c>
      <c r="L48" s="20"/>
      <c r="M48" s="20"/>
      <c r="N48" s="20"/>
      <c r="O48" s="20"/>
      <c r="P48" s="20"/>
      <c r="Q48" s="20"/>
      <c r="R48" s="20"/>
      <c r="S48" s="20"/>
      <c r="T48" s="20"/>
      <c r="U48" s="20"/>
      <c r="V48" s="20"/>
      <c r="W48" s="20"/>
    </row>
    <row r="49" spans="1:26" x14ac:dyDescent="0.25">
      <c r="A49" s="20"/>
      <c r="B49" s="20"/>
      <c r="C49" s="20"/>
      <c r="D49" s="20"/>
      <c r="E49" s="20"/>
      <c r="F49" s="20"/>
      <c r="G49" s="20"/>
      <c r="H49" s="20"/>
      <c r="I49" s="20"/>
      <c r="J49" s="20">
        <v>44</v>
      </c>
      <c r="K49" s="20">
        <v>16</v>
      </c>
      <c r="L49" s="20"/>
      <c r="M49" s="20"/>
      <c r="N49" s="20"/>
      <c r="O49" s="20"/>
      <c r="P49" s="20"/>
      <c r="Q49" s="20"/>
      <c r="R49" s="20"/>
      <c r="S49" s="20"/>
      <c r="T49" s="20"/>
      <c r="U49" s="20"/>
      <c r="V49" s="20"/>
      <c r="W49" s="20"/>
      <c r="X49" s="20"/>
      <c r="Y49" s="20"/>
      <c r="Z49" s="20"/>
    </row>
    <row r="50" spans="1:26" x14ac:dyDescent="0.25">
      <c r="A50" s="20"/>
      <c r="B50" s="20"/>
      <c r="C50" s="20"/>
      <c r="D50" s="20"/>
      <c r="E50" s="20"/>
      <c r="F50" s="20"/>
      <c r="G50" s="20"/>
      <c r="H50" s="20"/>
      <c r="I50" s="20"/>
      <c r="J50" s="20">
        <v>45</v>
      </c>
      <c r="K50" s="20">
        <v>16</v>
      </c>
      <c r="L50" s="20"/>
      <c r="M50" s="20"/>
      <c r="N50" s="20"/>
      <c r="O50" s="20"/>
      <c r="P50" s="20"/>
      <c r="Q50" s="20"/>
      <c r="R50" s="20"/>
      <c r="S50" s="20"/>
      <c r="T50" s="20"/>
      <c r="U50" s="20"/>
      <c r="V50" s="20"/>
      <c r="W50" s="20"/>
      <c r="X50" s="20"/>
      <c r="Y50" s="20"/>
      <c r="Z50" s="20"/>
    </row>
    <row r="51" spans="1:26" x14ac:dyDescent="0.25">
      <c r="A51" s="20"/>
      <c r="B51" s="20"/>
      <c r="C51" s="20"/>
      <c r="D51" s="20"/>
      <c r="E51" s="20"/>
      <c r="F51" s="20"/>
      <c r="G51" s="20"/>
      <c r="H51" s="20"/>
      <c r="I51" s="20"/>
      <c r="J51" s="20">
        <v>46</v>
      </c>
      <c r="K51" s="20">
        <v>16</v>
      </c>
      <c r="L51" s="20"/>
      <c r="M51" s="20"/>
      <c r="N51" s="20"/>
      <c r="O51" s="20"/>
      <c r="P51" s="20"/>
      <c r="Q51" s="20"/>
      <c r="R51" s="20"/>
      <c r="S51" s="20"/>
      <c r="T51" s="20"/>
      <c r="U51" s="20"/>
      <c r="V51" s="20"/>
      <c r="W51" s="20"/>
      <c r="X51" s="20"/>
      <c r="Y51" s="20"/>
      <c r="Z51" s="20"/>
    </row>
    <row r="52" spans="1:26" x14ac:dyDescent="0.25">
      <c r="A52" s="20"/>
      <c r="B52" s="20"/>
      <c r="C52" s="20"/>
      <c r="D52" s="20"/>
      <c r="E52" s="20"/>
      <c r="F52" s="20"/>
      <c r="G52" s="20"/>
      <c r="H52" s="20"/>
      <c r="I52" s="20"/>
      <c r="J52" s="20">
        <v>47</v>
      </c>
      <c r="K52" s="20">
        <v>16</v>
      </c>
      <c r="L52" s="20"/>
      <c r="M52" s="20"/>
      <c r="N52" s="20"/>
      <c r="O52" s="20"/>
      <c r="P52" s="20"/>
      <c r="Q52" s="20"/>
      <c r="R52" s="20"/>
      <c r="S52" s="20"/>
      <c r="T52" s="20"/>
      <c r="U52" s="20"/>
      <c r="V52" s="20"/>
      <c r="W52" s="20"/>
      <c r="X52" s="20"/>
      <c r="Y52" s="20"/>
      <c r="Z52" s="20"/>
    </row>
    <row r="53" spans="1:26" x14ac:dyDescent="0.25">
      <c r="A53" s="20"/>
      <c r="B53" s="20"/>
      <c r="C53" s="20"/>
      <c r="D53" s="20"/>
      <c r="E53" s="20"/>
      <c r="F53" s="20"/>
      <c r="G53" s="20"/>
      <c r="H53" s="20"/>
      <c r="I53" s="20"/>
      <c r="J53" s="20">
        <v>48</v>
      </c>
      <c r="K53" s="20">
        <v>16</v>
      </c>
      <c r="L53" s="20"/>
      <c r="M53" s="20"/>
      <c r="N53" s="20"/>
      <c r="O53" s="20"/>
      <c r="P53" s="20"/>
      <c r="Q53" s="20"/>
      <c r="R53" s="20"/>
      <c r="S53" s="20"/>
      <c r="T53" s="20"/>
      <c r="U53" s="20"/>
      <c r="V53" s="20"/>
      <c r="W53" s="20"/>
      <c r="X53" s="20"/>
      <c r="Y53" s="20"/>
      <c r="Z53" s="20"/>
    </row>
    <row r="54" spans="1:26" x14ac:dyDescent="0.25">
      <c r="A54" s="20"/>
      <c r="B54" s="20"/>
      <c r="C54" s="20"/>
      <c r="D54" s="20"/>
      <c r="E54" s="20"/>
      <c r="F54" s="20"/>
      <c r="G54" s="20"/>
      <c r="H54" s="20"/>
      <c r="I54" s="20"/>
      <c r="J54" s="20">
        <v>49</v>
      </c>
      <c r="K54" s="20">
        <v>16</v>
      </c>
      <c r="L54" s="20"/>
      <c r="M54" s="20"/>
      <c r="N54" s="20"/>
      <c r="O54" s="20"/>
      <c r="P54" s="20"/>
      <c r="Q54" s="20"/>
      <c r="R54" s="20"/>
      <c r="S54" s="20"/>
      <c r="T54" s="20"/>
      <c r="U54" s="20"/>
      <c r="V54" s="20"/>
      <c r="W54" s="20"/>
    </row>
    <row r="55" spans="1:26" x14ac:dyDescent="0.25">
      <c r="A55" s="20"/>
      <c r="B55" s="20"/>
      <c r="C55" s="20"/>
      <c r="D55" s="20"/>
      <c r="E55" s="20"/>
      <c r="F55" s="20"/>
      <c r="G55" s="20"/>
      <c r="H55" s="20"/>
      <c r="I55" s="20"/>
      <c r="J55" s="20">
        <v>50</v>
      </c>
      <c r="K55" s="20">
        <v>16</v>
      </c>
      <c r="L55" s="20"/>
      <c r="M55" s="20"/>
      <c r="N55" s="20"/>
      <c r="O55" s="20"/>
      <c r="P55" s="20"/>
      <c r="Q55" s="20"/>
      <c r="R55" s="20"/>
      <c r="S55" s="20"/>
      <c r="T55" s="20"/>
      <c r="U55" s="20"/>
      <c r="V55" s="20"/>
      <c r="W55" s="20"/>
    </row>
    <row r="56" spans="1:26" x14ac:dyDescent="0.25">
      <c r="A56" s="20"/>
      <c r="B56" s="20"/>
      <c r="C56" s="20"/>
      <c r="D56" s="20"/>
      <c r="E56" s="20"/>
      <c r="F56" s="20"/>
      <c r="G56" s="20"/>
      <c r="H56" s="20"/>
      <c r="I56" s="20"/>
      <c r="J56" s="20">
        <v>51</v>
      </c>
      <c r="K56" s="20">
        <v>17</v>
      </c>
      <c r="L56" s="20"/>
      <c r="M56" s="20"/>
      <c r="N56" s="20"/>
      <c r="O56" s="20"/>
      <c r="P56" s="20"/>
      <c r="Q56" s="20"/>
      <c r="R56" s="20"/>
      <c r="S56" s="20"/>
      <c r="T56" s="20"/>
      <c r="U56" s="20"/>
      <c r="V56" s="20"/>
      <c r="W56" s="20"/>
    </row>
    <row r="57" spans="1:26" x14ac:dyDescent="0.25">
      <c r="A57" s="20"/>
      <c r="B57" s="20"/>
      <c r="C57" s="20"/>
      <c r="D57" s="20"/>
      <c r="E57" s="20"/>
      <c r="F57" s="20"/>
      <c r="G57" s="20"/>
      <c r="H57" s="20"/>
      <c r="I57" s="20"/>
      <c r="J57" s="20">
        <v>52</v>
      </c>
      <c r="K57" s="20">
        <v>17</v>
      </c>
      <c r="L57" s="20"/>
      <c r="M57" s="20"/>
      <c r="N57" s="20"/>
      <c r="O57" s="20"/>
      <c r="P57" s="20"/>
      <c r="Q57" s="20"/>
      <c r="R57" s="20"/>
      <c r="S57" s="20"/>
      <c r="T57" s="20"/>
      <c r="U57" s="20"/>
      <c r="V57" s="20"/>
      <c r="W57" s="20"/>
    </row>
    <row r="58" spans="1:26" x14ac:dyDescent="0.25">
      <c r="A58" s="20"/>
      <c r="B58" s="20"/>
      <c r="C58" s="20"/>
      <c r="D58" s="20"/>
      <c r="E58" s="20"/>
      <c r="F58" s="20"/>
      <c r="G58" s="20"/>
      <c r="H58" s="20"/>
      <c r="I58" s="20"/>
      <c r="J58" s="20">
        <v>53</v>
      </c>
      <c r="K58" s="20">
        <v>17</v>
      </c>
      <c r="L58" s="20"/>
      <c r="M58" s="20"/>
      <c r="N58" s="20"/>
      <c r="O58" s="20"/>
      <c r="P58" s="20"/>
      <c r="Q58" s="20"/>
      <c r="R58" s="20"/>
      <c r="S58" s="20"/>
      <c r="T58" s="20"/>
      <c r="U58" s="20"/>
      <c r="V58" s="20"/>
      <c r="W58" s="20"/>
    </row>
    <row r="59" spans="1:26" x14ac:dyDescent="0.25">
      <c r="A59" s="20"/>
      <c r="B59" s="20"/>
      <c r="C59" s="20"/>
      <c r="D59" s="20"/>
      <c r="E59" s="20"/>
      <c r="F59" s="20"/>
      <c r="G59" s="20"/>
      <c r="H59" s="20"/>
      <c r="I59" s="20"/>
      <c r="J59" s="20">
        <v>54</v>
      </c>
      <c r="K59" s="20">
        <v>17</v>
      </c>
      <c r="L59" s="20"/>
      <c r="M59" s="20"/>
      <c r="N59" s="20"/>
      <c r="O59" s="20"/>
      <c r="P59" s="20"/>
      <c r="Q59" s="20"/>
      <c r="R59" s="20"/>
      <c r="S59" s="20"/>
      <c r="T59" s="20"/>
      <c r="U59" s="20"/>
      <c r="V59" s="20"/>
      <c r="W59" s="20"/>
    </row>
    <row r="60" spans="1:26" x14ac:dyDescent="0.25">
      <c r="A60" s="20"/>
      <c r="B60" s="20"/>
      <c r="C60" s="20"/>
      <c r="D60" s="20"/>
      <c r="E60" s="20"/>
      <c r="F60" s="20"/>
      <c r="G60" s="20"/>
      <c r="H60" s="20"/>
      <c r="I60" s="20"/>
      <c r="J60" s="20">
        <v>55</v>
      </c>
      <c r="K60" s="20">
        <v>17</v>
      </c>
      <c r="L60" s="20"/>
      <c r="M60" s="20"/>
      <c r="N60" s="20"/>
      <c r="O60" s="20"/>
      <c r="P60" s="20"/>
      <c r="Q60" s="20"/>
      <c r="R60" s="20"/>
      <c r="S60" s="20"/>
      <c r="T60" s="20"/>
      <c r="U60" s="20"/>
      <c r="V60" s="20"/>
      <c r="W60" s="20"/>
    </row>
    <row r="61" spans="1:26" x14ac:dyDescent="0.25">
      <c r="A61" s="20"/>
      <c r="B61" s="20"/>
      <c r="C61" s="20"/>
      <c r="D61" s="20"/>
      <c r="E61" s="20"/>
      <c r="F61" s="20"/>
      <c r="G61" s="20"/>
      <c r="H61" s="20"/>
      <c r="I61" s="20"/>
      <c r="J61" s="20">
        <v>56</v>
      </c>
      <c r="K61" s="20">
        <v>17</v>
      </c>
      <c r="L61" s="20"/>
      <c r="M61" s="20"/>
      <c r="N61" s="20"/>
      <c r="O61" s="20"/>
      <c r="P61" s="20"/>
      <c r="Q61" s="20"/>
      <c r="R61" s="20"/>
      <c r="S61" s="20"/>
      <c r="T61" s="20"/>
      <c r="U61" s="20"/>
      <c r="V61" s="20"/>
      <c r="W61" s="20"/>
    </row>
    <row r="62" spans="1:26" x14ac:dyDescent="0.25">
      <c r="A62" s="20"/>
      <c r="B62" s="20"/>
      <c r="C62" s="20"/>
      <c r="D62" s="20"/>
      <c r="E62" s="20"/>
      <c r="F62" s="20"/>
      <c r="G62" s="20"/>
      <c r="H62" s="20"/>
      <c r="I62" s="20"/>
      <c r="J62" s="20">
        <v>57</v>
      </c>
      <c r="K62" s="20">
        <v>17</v>
      </c>
      <c r="L62" s="20"/>
      <c r="M62" s="20"/>
      <c r="N62" s="20"/>
      <c r="O62" s="20"/>
      <c r="P62" s="20"/>
      <c r="Q62" s="20"/>
      <c r="R62" s="20"/>
      <c r="S62" s="20"/>
      <c r="T62" s="20"/>
      <c r="U62" s="20"/>
      <c r="V62" s="20"/>
      <c r="W62" s="20"/>
    </row>
    <row r="63" spans="1:26" x14ac:dyDescent="0.25">
      <c r="A63" s="20"/>
      <c r="B63" s="20"/>
      <c r="C63" s="20"/>
      <c r="D63" s="20"/>
      <c r="E63" s="20"/>
      <c r="F63" s="20"/>
      <c r="G63" s="20"/>
      <c r="H63" s="20"/>
      <c r="I63" s="20"/>
      <c r="J63" s="20">
        <v>58</v>
      </c>
      <c r="K63" s="20">
        <v>17</v>
      </c>
      <c r="L63" s="20"/>
      <c r="M63" s="20"/>
      <c r="N63" s="20"/>
      <c r="O63" s="20"/>
      <c r="P63" s="20"/>
      <c r="Q63" s="20"/>
      <c r="R63" s="20"/>
      <c r="S63" s="20"/>
      <c r="T63" s="20"/>
      <c r="U63" s="20"/>
      <c r="V63" s="20"/>
      <c r="W63" s="20"/>
    </row>
    <row r="64" spans="1:26" x14ac:dyDescent="0.25">
      <c r="A64" s="20"/>
      <c r="B64" s="20"/>
      <c r="C64" s="20"/>
      <c r="D64" s="20"/>
      <c r="E64" s="20"/>
      <c r="F64" s="20"/>
      <c r="G64" s="20"/>
      <c r="H64" s="20"/>
      <c r="I64" s="20"/>
      <c r="J64" s="20">
        <v>59</v>
      </c>
      <c r="K64" s="20">
        <v>18</v>
      </c>
      <c r="L64" s="20"/>
      <c r="M64" s="20"/>
      <c r="N64" s="20"/>
      <c r="O64" s="20"/>
      <c r="P64" s="20"/>
      <c r="Q64" s="20"/>
      <c r="R64" s="20"/>
      <c r="S64" s="20"/>
      <c r="T64" s="20"/>
      <c r="U64" s="20"/>
      <c r="V64" s="20"/>
      <c r="W64" s="20"/>
    </row>
    <row r="65" spans="1:23" x14ac:dyDescent="0.25">
      <c r="A65" s="20"/>
      <c r="B65" s="20"/>
      <c r="C65" s="20"/>
      <c r="D65" s="20"/>
      <c r="E65" s="20"/>
      <c r="F65" s="20"/>
      <c r="G65" s="20"/>
      <c r="H65" s="20"/>
      <c r="I65" s="20"/>
      <c r="J65" s="20">
        <v>60</v>
      </c>
      <c r="K65" s="20">
        <v>18</v>
      </c>
      <c r="L65" s="20"/>
      <c r="M65" s="20"/>
      <c r="N65" s="20"/>
      <c r="O65" s="20"/>
      <c r="P65" s="20"/>
      <c r="Q65" s="20"/>
      <c r="R65" s="20"/>
      <c r="S65" s="20"/>
      <c r="T65" s="20"/>
      <c r="U65" s="20"/>
      <c r="V65" s="20"/>
      <c r="W65" s="20"/>
    </row>
    <row r="66" spans="1:23" x14ac:dyDescent="0.25">
      <c r="A66" s="20"/>
      <c r="B66" s="20"/>
      <c r="C66" s="20"/>
      <c r="D66" s="20"/>
      <c r="E66" s="20"/>
      <c r="F66" s="20"/>
      <c r="G66" s="20"/>
      <c r="H66" s="20"/>
      <c r="I66" s="20"/>
      <c r="J66" s="20">
        <v>61</v>
      </c>
      <c r="K66" s="20">
        <v>18</v>
      </c>
      <c r="L66" s="20"/>
      <c r="M66" s="20"/>
      <c r="N66" s="20"/>
      <c r="O66" s="20"/>
      <c r="P66" s="20"/>
      <c r="Q66" s="20"/>
      <c r="R66" s="20"/>
      <c r="S66" s="20"/>
      <c r="T66" s="20"/>
      <c r="U66" s="20"/>
      <c r="V66" s="20"/>
      <c r="W66" s="20"/>
    </row>
    <row r="67" spans="1:23" x14ac:dyDescent="0.25">
      <c r="A67" s="20"/>
      <c r="B67" s="20"/>
      <c r="C67" s="20"/>
      <c r="D67" s="20"/>
      <c r="E67" s="20"/>
      <c r="F67" s="20"/>
      <c r="G67" s="20"/>
      <c r="H67" s="20"/>
      <c r="I67" s="20"/>
      <c r="J67" s="20">
        <v>62</v>
      </c>
      <c r="K67" s="20">
        <v>18</v>
      </c>
      <c r="L67" s="20"/>
      <c r="M67" s="20"/>
      <c r="N67" s="20"/>
      <c r="O67" s="20"/>
      <c r="P67" s="20"/>
      <c r="Q67" s="20"/>
      <c r="R67" s="20"/>
      <c r="S67" s="20"/>
      <c r="T67" s="20"/>
      <c r="U67" s="20"/>
      <c r="V67" s="20"/>
      <c r="W67" s="20"/>
    </row>
    <row r="68" spans="1:23" x14ac:dyDescent="0.25">
      <c r="A68" s="20"/>
      <c r="B68" s="20"/>
      <c r="C68" s="20"/>
      <c r="D68" s="20"/>
      <c r="E68" s="20"/>
      <c r="F68" s="20"/>
      <c r="G68" s="20"/>
      <c r="H68" s="20"/>
      <c r="I68" s="20"/>
      <c r="J68" s="20">
        <v>63</v>
      </c>
      <c r="K68" s="20">
        <v>18</v>
      </c>
      <c r="L68" s="20"/>
      <c r="M68" s="20"/>
      <c r="N68" s="20"/>
      <c r="O68" s="20"/>
      <c r="P68" s="20"/>
      <c r="Q68" s="20"/>
      <c r="R68" s="20"/>
      <c r="S68" s="20"/>
      <c r="T68" s="20"/>
      <c r="U68" s="20"/>
      <c r="V68" s="20"/>
      <c r="W68" s="20"/>
    </row>
    <row r="69" spans="1:23" x14ac:dyDescent="0.25">
      <c r="A69" s="20"/>
      <c r="B69" s="20"/>
      <c r="C69" s="20"/>
      <c r="D69" s="20"/>
      <c r="E69" s="20"/>
      <c r="F69" s="20"/>
      <c r="G69" s="20"/>
      <c r="H69" s="20"/>
      <c r="I69" s="20"/>
      <c r="J69" s="20">
        <v>64</v>
      </c>
      <c r="K69" s="20">
        <v>18</v>
      </c>
      <c r="L69" s="20"/>
      <c r="M69" s="20"/>
      <c r="N69" s="20"/>
      <c r="O69" s="20"/>
      <c r="P69" s="20"/>
      <c r="Q69" s="20"/>
      <c r="R69" s="20"/>
      <c r="S69" s="20"/>
      <c r="T69" s="20"/>
      <c r="U69" s="20"/>
      <c r="V69" s="20"/>
      <c r="W69" s="20"/>
    </row>
    <row r="70" spans="1:23" x14ac:dyDescent="0.25">
      <c r="A70" s="20"/>
      <c r="B70" s="20"/>
      <c r="C70" s="20"/>
      <c r="D70" s="20"/>
      <c r="E70" s="20"/>
      <c r="F70" s="20"/>
      <c r="G70" s="20"/>
      <c r="H70" s="20"/>
      <c r="I70" s="20"/>
      <c r="J70" s="20">
        <v>65</v>
      </c>
      <c r="K70" s="20">
        <v>18</v>
      </c>
      <c r="L70" s="20"/>
      <c r="M70" s="20"/>
      <c r="N70" s="20"/>
      <c r="O70" s="20"/>
      <c r="P70" s="20"/>
      <c r="Q70" s="20"/>
      <c r="R70" s="20"/>
      <c r="S70" s="20"/>
      <c r="T70" s="20"/>
      <c r="U70" s="20"/>
      <c r="V70" s="20"/>
      <c r="W70" s="20"/>
    </row>
    <row r="71" spans="1:23" x14ac:dyDescent="0.25">
      <c r="A71" s="20"/>
      <c r="B71" s="20"/>
      <c r="C71" s="20"/>
      <c r="D71" s="20"/>
      <c r="E71" s="20"/>
      <c r="F71" s="20"/>
      <c r="G71" s="20"/>
      <c r="H71" s="20"/>
      <c r="I71" s="20"/>
      <c r="J71" s="20">
        <v>66</v>
      </c>
      <c r="K71" s="20">
        <v>18</v>
      </c>
      <c r="L71" s="20"/>
      <c r="M71" s="20"/>
      <c r="N71" s="20"/>
      <c r="O71" s="20"/>
      <c r="P71" s="20"/>
      <c r="Q71" s="20"/>
      <c r="R71" s="20"/>
      <c r="S71" s="20"/>
      <c r="T71" s="20"/>
      <c r="U71" s="20"/>
      <c r="V71" s="20"/>
      <c r="W71" s="20"/>
    </row>
    <row r="72" spans="1:23" x14ac:dyDescent="0.25">
      <c r="A72" s="20"/>
      <c r="B72" s="20"/>
      <c r="C72" s="20"/>
      <c r="D72" s="20"/>
      <c r="E72" s="20"/>
      <c r="F72" s="20"/>
      <c r="G72" s="20"/>
      <c r="H72" s="20"/>
      <c r="I72" s="20"/>
      <c r="J72" s="20">
        <v>67</v>
      </c>
      <c r="K72" s="20">
        <v>19</v>
      </c>
      <c r="L72" s="20"/>
      <c r="M72" s="20"/>
      <c r="N72" s="20"/>
      <c r="O72" s="20"/>
      <c r="P72" s="20"/>
      <c r="Q72" s="20"/>
      <c r="R72" s="20"/>
      <c r="S72" s="20"/>
      <c r="T72" s="20"/>
      <c r="U72" s="20"/>
      <c r="V72" s="20"/>
      <c r="W72" s="20"/>
    </row>
    <row r="73" spans="1:23" x14ac:dyDescent="0.25">
      <c r="A73" s="20"/>
      <c r="B73" s="20"/>
      <c r="C73" s="20"/>
      <c r="D73" s="20"/>
      <c r="E73" s="20"/>
      <c r="F73" s="20"/>
      <c r="G73" s="20"/>
      <c r="H73" s="20"/>
      <c r="I73" s="20"/>
      <c r="J73" s="20">
        <v>68</v>
      </c>
      <c r="K73" s="20">
        <v>19</v>
      </c>
      <c r="L73" s="20"/>
      <c r="M73" s="20"/>
      <c r="N73" s="20"/>
      <c r="O73" s="20"/>
      <c r="P73" s="20"/>
      <c r="Q73" s="20"/>
      <c r="R73" s="20"/>
      <c r="S73" s="20"/>
      <c r="T73" s="20"/>
      <c r="U73" s="20"/>
      <c r="V73" s="20"/>
      <c r="W73" s="20"/>
    </row>
    <row r="74" spans="1:23" x14ac:dyDescent="0.25">
      <c r="A74" s="20"/>
      <c r="B74" s="20"/>
      <c r="C74" s="20"/>
      <c r="D74" s="20"/>
      <c r="E74" s="20"/>
      <c r="F74" s="20"/>
      <c r="G74" s="20"/>
      <c r="H74" s="20"/>
      <c r="I74" s="20"/>
      <c r="J74" s="20">
        <v>69</v>
      </c>
      <c r="K74" s="20">
        <v>19</v>
      </c>
      <c r="L74" s="20"/>
      <c r="M74" s="20"/>
      <c r="N74" s="20"/>
      <c r="O74" s="20"/>
      <c r="P74" s="20"/>
      <c r="Q74" s="20"/>
      <c r="R74" s="20"/>
      <c r="S74" s="20"/>
      <c r="T74" s="20"/>
      <c r="U74" s="20"/>
      <c r="V74" s="20"/>
      <c r="W74" s="20"/>
    </row>
    <row r="75" spans="1:23" x14ac:dyDescent="0.25">
      <c r="A75" s="20"/>
      <c r="B75" s="20"/>
      <c r="C75" s="20"/>
      <c r="D75" s="20"/>
      <c r="E75" s="20"/>
      <c r="F75" s="20"/>
      <c r="G75" s="20"/>
      <c r="H75" s="20"/>
      <c r="I75" s="20"/>
      <c r="J75" s="20">
        <v>70</v>
      </c>
      <c r="K75" s="20">
        <v>19</v>
      </c>
      <c r="L75" s="20"/>
      <c r="M75" s="20"/>
      <c r="N75" s="20"/>
      <c r="O75" s="20"/>
      <c r="P75" s="20"/>
      <c r="Q75" s="20"/>
      <c r="R75" s="20"/>
      <c r="S75" s="20"/>
      <c r="T75" s="20"/>
      <c r="U75" s="20"/>
      <c r="V75" s="20"/>
      <c r="W75" s="20"/>
    </row>
    <row r="76" spans="1:23" x14ac:dyDescent="0.25">
      <c r="A76" s="20"/>
      <c r="B76" s="20"/>
      <c r="C76" s="20"/>
      <c r="D76" s="20"/>
      <c r="E76" s="20"/>
      <c r="F76" s="20"/>
      <c r="G76" s="20"/>
      <c r="H76" s="20"/>
      <c r="I76" s="20"/>
      <c r="J76" s="20">
        <v>71</v>
      </c>
      <c r="K76" s="20">
        <v>19</v>
      </c>
      <c r="L76" s="20"/>
      <c r="M76" s="20"/>
      <c r="N76" s="20"/>
      <c r="O76" s="20"/>
      <c r="P76" s="20"/>
      <c r="Q76" s="20"/>
      <c r="R76" s="20"/>
      <c r="S76" s="20"/>
      <c r="T76" s="20"/>
      <c r="U76" s="20"/>
      <c r="V76" s="20"/>
      <c r="W76" s="20"/>
    </row>
    <row r="77" spans="1:23" x14ac:dyDescent="0.25">
      <c r="A77" s="20"/>
      <c r="B77" s="20"/>
      <c r="C77" s="20"/>
      <c r="D77" s="20"/>
      <c r="E77" s="20"/>
      <c r="F77" s="20"/>
      <c r="G77" s="20"/>
      <c r="H77" s="20"/>
      <c r="I77" s="20"/>
      <c r="J77" s="20">
        <v>72</v>
      </c>
      <c r="K77" s="20">
        <v>19</v>
      </c>
      <c r="L77" s="20"/>
      <c r="M77" s="20"/>
      <c r="N77" s="20"/>
      <c r="O77" s="20"/>
      <c r="P77" s="20"/>
      <c r="Q77" s="20"/>
      <c r="R77" s="20"/>
      <c r="S77" s="20"/>
      <c r="T77" s="20"/>
      <c r="U77" s="20"/>
      <c r="V77" s="20"/>
      <c r="W77" s="20"/>
    </row>
    <row r="78" spans="1:23" x14ac:dyDescent="0.25">
      <c r="A78" s="20"/>
      <c r="B78" s="20"/>
      <c r="C78" s="20"/>
      <c r="D78" s="20"/>
      <c r="E78" s="20"/>
      <c r="F78" s="20"/>
      <c r="G78" s="20"/>
      <c r="H78" s="20"/>
      <c r="I78" s="20"/>
      <c r="J78" s="20">
        <v>73</v>
      </c>
      <c r="K78" s="20">
        <v>19</v>
      </c>
      <c r="L78" s="20"/>
      <c r="M78" s="20"/>
      <c r="N78" s="20"/>
      <c r="O78" s="20"/>
      <c r="P78" s="20"/>
      <c r="Q78" s="20"/>
      <c r="R78" s="20"/>
      <c r="S78" s="20"/>
      <c r="T78" s="20"/>
      <c r="U78" s="20"/>
      <c r="V78" s="20"/>
      <c r="W78" s="20"/>
    </row>
    <row r="79" spans="1:23" x14ac:dyDescent="0.25">
      <c r="A79" s="20"/>
      <c r="B79" s="20"/>
      <c r="C79" s="20"/>
      <c r="D79" s="20"/>
      <c r="E79" s="20"/>
      <c r="F79" s="20"/>
      <c r="G79" s="20"/>
      <c r="H79" s="20"/>
      <c r="I79" s="20"/>
      <c r="J79" s="20">
        <v>74</v>
      </c>
      <c r="K79" s="20">
        <v>19</v>
      </c>
      <c r="L79" s="20"/>
      <c r="M79" s="20"/>
      <c r="N79" s="20"/>
      <c r="O79" s="20"/>
      <c r="P79" s="20"/>
      <c r="Q79" s="20"/>
      <c r="R79" s="20"/>
      <c r="S79" s="20"/>
      <c r="T79" s="20"/>
      <c r="U79" s="20"/>
      <c r="V79" s="20"/>
      <c r="W79" s="20"/>
    </row>
    <row r="80" spans="1:23" x14ac:dyDescent="0.25">
      <c r="A80" s="20"/>
      <c r="B80" s="20"/>
      <c r="C80" s="20"/>
      <c r="D80" s="20"/>
      <c r="E80" s="20"/>
      <c r="F80" s="20"/>
      <c r="G80" s="20"/>
      <c r="H80" s="20"/>
      <c r="I80" s="20"/>
      <c r="J80" s="20">
        <v>75</v>
      </c>
      <c r="K80" s="20">
        <v>20</v>
      </c>
      <c r="L80" s="20"/>
      <c r="M80" s="20"/>
      <c r="N80" s="20"/>
      <c r="O80" s="20"/>
      <c r="P80" s="20"/>
      <c r="Q80" s="20"/>
      <c r="R80" s="20"/>
      <c r="S80" s="20"/>
      <c r="T80" s="20"/>
      <c r="U80" s="20"/>
      <c r="V80" s="20"/>
      <c r="W80" s="20"/>
    </row>
    <row r="81" spans="1:23" x14ac:dyDescent="0.25">
      <c r="A81" s="20"/>
      <c r="B81" s="20"/>
      <c r="C81" s="20"/>
      <c r="D81" s="20"/>
      <c r="E81" s="20"/>
      <c r="F81" s="20"/>
      <c r="G81" s="20"/>
      <c r="H81" s="20"/>
      <c r="I81" s="20"/>
      <c r="J81" s="20">
        <v>76</v>
      </c>
      <c r="K81" s="20">
        <v>20</v>
      </c>
      <c r="L81" s="20"/>
      <c r="M81" s="20"/>
      <c r="N81" s="20"/>
      <c r="O81" s="20"/>
      <c r="P81" s="20"/>
      <c r="Q81" s="20"/>
      <c r="R81" s="20"/>
      <c r="S81" s="20"/>
      <c r="T81" s="20"/>
      <c r="U81" s="20"/>
      <c r="V81" s="20"/>
      <c r="W81" s="20"/>
    </row>
    <row r="82" spans="1:23" x14ac:dyDescent="0.25">
      <c r="A82" s="20"/>
      <c r="B82" s="20"/>
      <c r="C82" s="20"/>
      <c r="D82" s="20"/>
      <c r="E82" s="20"/>
      <c r="F82" s="20"/>
      <c r="G82" s="20"/>
      <c r="H82" s="20"/>
      <c r="I82" s="20"/>
      <c r="J82" s="20">
        <v>77</v>
      </c>
      <c r="K82" s="20">
        <v>20</v>
      </c>
      <c r="L82" s="20"/>
      <c r="M82" s="20"/>
      <c r="N82" s="20"/>
      <c r="O82" s="20"/>
      <c r="P82" s="20"/>
      <c r="Q82" s="20"/>
      <c r="R82" s="20"/>
      <c r="S82" s="20"/>
      <c r="T82" s="20"/>
      <c r="U82" s="20"/>
      <c r="V82" s="20"/>
      <c r="W82" s="20"/>
    </row>
    <row r="83" spans="1:23" x14ac:dyDescent="0.25">
      <c r="A83" s="20"/>
      <c r="B83" s="20"/>
      <c r="C83" s="20"/>
      <c r="D83" s="20"/>
      <c r="E83" s="20"/>
      <c r="F83" s="20"/>
      <c r="G83" s="20"/>
      <c r="H83" s="20"/>
      <c r="I83" s="20"/>
      <c r="J83" s="20">
        <v>78</v>
      </c>
      <c r="K83" s="20">
        <v>20</v>
      </c>
      <c r="L83" s="20"/>
      <c r="M83" s="20"/>
      <c r="N83" s="20"/>
      <c r="O83" s="20"/>
      <c r="P83" s="20"/>
      <c r="Q83" s="20"/>
      <c r="R83" s="20"/>
      <c r="S83" s="20"/>
      <c r="T83" s="20"/>
      <c r="U83" s="20"/>
      <c r="V83" s="20"/>
      <c r="W83" s="20"/>
    </row>
    <row r="84" spans="1:23" x14ac:dyDescent="0.25">
      <c r="A84" s="20"/>
      <c r="B84" s="20"/>
      <c r="C84" s="20"/>
      <c r="D84" s="20"/>
      <c r="E84" s="20"/>
      <c r="F84" s="20"/>
      <c r="G84" s="20"/>
      <c r="H84" s="20"/>
      <c r="I84" s="20"/>
      <c r="J84" s="20">
        <v>79</v>
      </c>
      <c r="K84" s="20">
        <v>20</v>
      </c>
      <c r="L84" s="20"/>
      <c r="M84" s="20"/>
      <c r="N84" s="20"/>
      <c r="O84" s="20"/>
      <c r="P84" s="20"/>
      <c r="Q84" s="20"/>
      <c r="R84" s="20"/>
      <c r="S84" s="20"/>
      <c r="T84" s="20"/>
      <c r="U84" s="20"/>
      <c r="V84" s="20"/>
      <c r="W84" s="20"/>
    </row>
    <row r="85" spans="1:23" x14ac:dyDescent="0.25">
      <c r="A85" s="20"/>
      <c r="B85" s="20"/>
      <c r="C85" s="20"/>
      <c r="D85" s="20"/>
      <c r="E85" s="20"/>
      <c r="F85" s="20"/>
      <c r="G85" s="20"/>
      <c r="H85" s="20"/>
      <c r="I85" s="20"/>
      <c r="J85" s="20">
        <v>80</v>
      </c>
      <c r="K85" s="20">
        <v>20</v>
      </c>
      <c r="L85" s="20"/>
      <c r="M85" s="20"/>
      <c r="N85" s="20"/>
      <c r="O85" s="20"/>
      <c r="P85" s="20"/>
      <c r="Q85" s="20"/>
      <c r="R85" s="20"/>
      <c r="S85" s="20"/>
      <c r="T85" s="20"/>
      <c r="U85" s="20"/>
      <c r="V85" s="20"/>
      <c r="W85" s="20"/>
    </row>
    <row r="86" spans="1:23" x14ac:dyDescent="0.25">
      <c r="A86" s="20"/>
      <c r="B86" s="20"/>
      <c r="C86" s="20"/>
      <c r="D86" s="20"/>
      <c r="E86" s="20"/>
      <c r="F86" s="20"/>
      <c r="G86" s="20"/>
      <c r="H86" s="20"/>
      <c r="I86" s="20"/>
      <c r="J86" s="20">
        <v>81</v>
      </c>
      <c r="K86" s="20">
        <v>20</v>
      </c>
      <c r="L86" s="20"/>
      <c r="M86" s="20"/>
      <c r="N86" s="20"/>
      <c r="O86" s="20"/>
      <c r="P86" s="20"/>
      <c r="Q86" s="20"/>
      <c r="R86" s="20"/>
      <c r="S86" s="20"/>
      <c r="T86" s="20"/>
      <c r="U86" s="20"/>
      <c r="V86" s="20"/>
      <c r="W86" s="20"/>
    </row>
    <row r="87" spans="1:23" x14ac:dyDescent="0.25">
      <c r="A87" s="20"/>
      <c r="B87" s="20"/>
      <c r="C87" s="20"/>
      <c r="D87" s="20"/>
      <c r="E87" s="20"/>
      <c r="F87" s="20"/>
      <c r="G87" s="20"/>
      <c r="H87" s="20"/>
      <c r="I87" s="20"/>
      <c r="J87" s="20">
        <v>82</v>
      </c>
      <c r="K87" s="20">
        <v>20</v>
      </c>
      <c r="L87" s="20"/>
      <c r="M87" s="20"/>
      <c r="N87" s="20"/>
      <c r="O87" s="20"/>
      <c r="P87" s="20"/>
      <c r="Q87" s="20"/>
      <c r="R87" s="20"/>
      <c r="S87" s="20"/>
      <c r="T87" s="20"/>
      <c r="U87" s="20"/>
      <c r="V87" s="20"/>
      <c r="W87" s="20"/>
    </row>
    <row r="88" spans="1:23" x14ac:dyDescent="0.25">
      <c r="A88" s="20"/>
      <c r="B88" s="20"/>
      <c r="C88" s="20"/>
      <c r="D88" s="20"/>
      <c r="E88" s="20"/>
      <c r="F88" s="20"/>
      <c r="G88" s="20"/>
      <c r="H88" s="20"/>
      <c r="I88" s="20"/>
      <c r="J88" s="20">
        <v>83</v>
      </c>
      <c r="K88" s="20">
        <v>20</v>
      </c>
      <c r="L88" s="20"/>
      <c r="M88" s="20"/>
      <c r="N88" s="20"/>
      <c r="O88" s="20"/>
      <c r="P88" s="20"/>
      <c r="Q88" s="20"/>
      <c r="R88" s="20"/>
      <c r="S88" s="20"/>
      <c r="T88" s="20"/>
      <c r="U88" s="20"/>
      <c r="V88" s="20"/>
      <c r="W88" s="20"/>
    </row>
    <row r="89" spans="1:23" x14ac:dyDescent="0.25">
      <c r="A89" s="20"/>
      <c r="B89" s="20"/>
      <c r="C89" s="20"/>
      <c r="D89" s="20"/>
      <c r="E89" s="20"/>
      <c r="F89" s="20"/>
      <c r="G89" s="20"/>
      <c r="H89" s="20"/>
      <c r="I89" s="20"/>
      <c r="J89" s="20">
        <v>84</v>
      </c>
      <c r="K89" s="20">
        <v>20</v>
      </c>
      <c r="L89" s="20"/>
      <c r="M89" s="20"/>
      <c r="N89" s="20"/>
      <c r="O89" s="20"/>
      <c r="P89" s="20"/>
      <c r="Q89" s="20"/>
      <c r="R89" s="20"/>
      <c r="S89" s="20"/>
      <c r="T89" s="20"/>
      <c r="U89" s="20"/>
      <c r="V89" s="20"/>
      <c r="W89" s="20"/>
    </row>
    <row r="90" spans="1:23" x14ac:dyDescent="0.25">
      <c r="A90" s="20"/>
      <c r="B90" s="20"/>
      <c r="C90" s="20"/>
      <c r="D90" s="20"/>
      <c r="E90" s="20"/>
      <c r="F90" s="20"/>
      <c r="G90" s="20"/>
      <c r="H90" s="20"/>
      <c r="I90" s="20"/>
      <c r="J90" s="20">
        <v>85</v>
      </c>
      <c r="K90" s="20">
        <v>20</v>
      </c>
      <c r="L90" s="20"/>
      <c r="M90" s="20"/>
      <c r="N90" s="20"/>
      <c r="O90" s="20"/>
      <c r="P90" s="20"/>
      <c r="Q90" s="20"/>
      <c r="R90" s="20"/>
      <c r="S90" s="20"/>
      <c r="T90" s="20"/>
      <c r="U90" s="20"/>
      <c r="V90" s="20"/>
      <c r="W90" s="20"/>
    </row>
    <row r="91" spans="1:23" x14ac:dyDescent="0.25">
      <c r="A91" s="20"/>
      <c r="B91" s="20"/>
      <c r="C91" s="20"/>
      <c r="D91" s="20"/>
      <c r="E91" s="20"/>
      <c r="F91" s="20"/>
      <c r="G91" s="20"/>
      <c r="H91" s="20"/>
      <c r="I91" s="20"/>
      <c r="J91" s="20">
        <v>86</v>
      </c>
      <c r="K91" s="20">
        <v>20</v>
      </c>
      <c r="L91" s="20"/>
      <c r="M91" s="20"/>
      <c r="N91" s="20"/>
      <c r="O91" s="20"/>
      <c r="P91" s="20"/>
      <c r="Q91" s="20"/>
      <c r="R91" s="20"/>
      <c r="S91" s="20"/>
      <c r="T91" s="20"/>
      <c r="U91" s="20"/>
      <c r="V91" s="20"/>
      <c r="W91" s="20"/>
    </row>
    <row r="92" spans="1:23" x14ac:dyDescent="0.25">
      <c r="A92" s="20"/>
      <c r="B92" s="20"/>
      <c r="C92" s="20"/>
      <c r="D92" s="20"/>
      <c r="E92" s="20"/>
      <c r="F92" s="20"/>
      <c r="G92" s="20"/>
      <c r="H92" s="20"/>
      <c r="I92" s="20"/>
      <c r="J92" s="20">
        <v>87</v>
      </c>
      <c r="K92" s="20">
        <v>20</v>
      </c>
      <c r="L92" s="20"/>
      <c r="M92" s="20"/>
      <c r="N92" s="20"/>
      <c r="O92" s="20"/>
      <c r="P92" s="20"/>
      <c r="Q92" s="20"/>
      <c r="R92" s="20"/>
      <c r="S92" s="20"/>
      <c r="T92" s="20"/>
      <c r="U92" s="20"/>
      <c r="V92" s="20"/>
      <c r="W92" s="20"/>
    </row>
    <row r="93" spans="1:23" x14ac:dyDescent="0.25">
      <c r="A93" s="20"/>
      <c r="B93" s="20"/>
      <c r="C93" s="20"/>
      <c r="D93" s="20"/>
      <c r="E93" s="20"/>
      <c r="F93" s="20"/>
      <c r="G93" s="20"/>
      <c r="H93" s="20"/>
      <c r="I93" s="20"/>
      <c r="J93" s="20">
        <v>88</v>
      </c>
      <c r="K93" s="20">
        <v>20</v>
      </c>
      <c r="L93" s="20"/>
      <c r="M93" s="20"/>
      <c r="N93" s="20"/>
      <c r="O93" s="20"/>
      <c r="P93" s="20"/>
      <c r="Q93" s="20"/>
      <c r="R93" s="20"/>
      <c r="S93" s="20"/>
      <c r="T93" s="20"/>
      <c r="U93" s="20"/>
      <c r="V93" s="20"/>
      <c r="W93" s="20"/>
    </row>
    <row r="94" spans="1:23" x14ac:dyDescent="0.25">
      <c r="A94" s="20"/>
      <c r="B94" s="20"/>
      <c r="C94" s="20"/>
      <c r="D94" s="20"/>
      <c r="E94" s="20"/>
      <c r="F94" s="20"/>
      <c r="G94" s="20"/>
      <c r="H94" s="20"/>
      <c r="I94" s="20"/>
      <c r="J94" s="20">
        <v>89</v>
      </c>
      <c r="K94" s="20">
        <v>20</v>
      </c>
      <c r="L94" s="20"/>
      <c r="M94" s="20"/>
      <c r="N94" s="20"/>
      <c r="O94" s="20"/>
      <c r="P94" s="20"/>
      <c r="Q94" s="20"/>
      <c r="R94" s="20"/>
      <c r="S94" s="20"/>
      <c r="T94" s="20"/>
      <c r="U94" s="20"/>
      <c r="V94" s="20"/>
      <c r="W94" s="20"/>
    </row>
    <row r="95" spans="1:23" x14ac:dyDescent="0.25">
      <c r="A95" s="20"/>
      <c r="B95" s="20"/>
      <c r="C95" s="20"/>
      <c r="D95" s="20"/>
      <c r="E95" s="20"/>
      <c r="F95" s="20"/>
      <c r="G95" s="20"/>
      <c r="H95" s="20"/>
      <c r="I95" s="20"/>
      <c r="J95" s="20">
        <v>90</v>
      </c>
      <c r="K95" s="20">
        <v>20</v>
      </c>
      <c r="L95" s="20"/>
      <c r="M95" s="20"/>
      <c r="N95" s="20"/>
      <c r="O95" s="20"/>
      <c r="P95" s="20"/>
      <c r="Q95" s="20"/>
      <c r="R95" s="20"/>
      <c r="S95" s="20"/>
      <c r="T95" s="20"/>
      <c r="U95" s="20"/>
      <c r="V95" s="20"/>
      <c r="W95" s="20"/>
    </row>
    <row r="96" spans="1:23" x14ac:dyDescent="0.25">
      <c r="A96" s="20"/>
      <c r="B96" s="20"/>
      <c r="C96" s="20"/>
      <c r="D96" s="20"/>
      <c r="E96" s="20"/>
      <c r="F96" s="20"/>
      <c r="G96" s="20"/>
      <c r="H96" s="20"/>
      <c r="I96" s="20"/>
      <c r="J96" s="20">
        <v>91</v>
      </c>
      <c r="K96" s="20">
        <v>21</v>
      </c>
      <c r="L96" s="20"/>
      <c r="M96" s="20"/>
      <c r="N96" s="20"/>
      <c r="O96" s="20"/>
      <c r="P96" s="20"/>
      <c r="Q96" s="20"/>
      <c r="R96" s="20"/>
      <c r="S96" s="20"/>
      <c r="T96" s="20"/>
      <c r="U96" s="20"/>
      <c r="V96" s="20"/>
      <c r="W96" s="20"/>
    </row>
    <row r="97" spans="1:23" x14ac:dyDescent="0.25">
      <c r="A97" s="20"/>
      <c r="B97" s="20"/>
      <c r="C97" s="20"/>
      <c r="D97" s="20"/>
      <c r="E97" s="20"/>
      <c r="F97" s="20"/>
      <c r="G97" s="20"/>
      <c r="H97" s="20"/>
      <c r="I97" s="20"/>
      <c r="J97" s="20">
        <v>92</v>
      </c>
      <c r="K97" s="20">
        <v>21</v>
      </c>
      <c r="L97" s="20"/>
      <c r="M97" s="20"/>
      <c r="N97" s="20"/>
      <c r="O97" s="20"/>
      <c r="P97" s="20"/>
      <c r="Q97" s="20"/>
      <c r="R97" s="20"/>
      <c r="S97" s="20"/>
      <c r="T97" s="20"/>
      <c r="U97" s="20"/>
      <c r="V97" s="20"/>
      <c r="W97" s="20"/>
    </row>
    <row r="98" spans="1:23" x14ac:dyDescent="0.25">
      <c r="A98" s="20"/>
      <c r="B98" s="20"/>
      <c r="C98" s="20"/>
      <c r="D98" s="20"/>
      <c r="E98" s="20"/>
      <c r="F98" s="20"/>
      <c r="G98" s="20"/>
      <c r="H98" s="20"/>
      <c r="I98" s="20"/>
      <c r="J98" s="20">
        <v>93</v>
      </c>
      <c r="K98" s="20">
        <v>21</v>
      </c>
      <c r="L98" s="20"/>
      <c r="M98" s="20"/>
      <c r="N98" s="20"/>
      <c r="O98" s="20"/>
      <c r="P98" s="20"/>
      <c r="Q98" s="20"/>
      <c r="R98" s="20"/>
      <c r="S98" s="20"/>
      <c r="T98" s="20"/>
      <c r="U98" s="20"/>
      <c r="V98" s="20"/>
      <c r="W98" s="20"/>
    </row>
    <row r="99" spans="1:23" x14ac:dyDescent="0.25">
      <c r="A99" s="20"/>
      <c r="B99" s="20"/>
      <c r="C99" s="20"/>
      <c r="D99" s="20"/>
      <c r="E99" s="20"/>
      <c r="F99" s="20"/>
      <c r="G99" s="20"/>
      <c r="H99" s="20"/>
      <c r="I99" s="20"/>
      <c r="J99" s="20">
        <v>94</v>
      </c>
      <c r="K99" s="20">
        <v>21</v>
      </c>
      <c r="L99" s="20"/>
      <c r="M99" s="20"/>
      <c r="N99" s="20"/>
      <c r="O99" s="20"/>
      <c r="P99" s="20"/>
      <c r="Q99" s="20"/>
      <c r="R99" s="20"/>
      <c r="S99" s="20"/>
      <c r="T99" s="20"/>
      <c r="U99" s="20"/>
      <c r="V99" s="20"/>
      <c r="W99" s="20"/>
    </row>
    <row r="100" spans="1:23" x14ac:dyDescent="0.25">
      <c r="A100" s="20"/>
      <c r="B100" s="20"/>
      <c r="C100" s="20"/>
      <c r="D100" s="20"/>
      <c r="E100" s="20"/>
      <c r="F100" s="20"/>
      <c r="G100" s="20"/>
      <c r="H100" s="20"/>
      <c r="I100" s="20"/>
      <c r="J100" s="20">
        <v>95</v>
      </c>
      <c r="K100" s="20">
        <v>21</v>
      </c>
      <c r="L100" s="20"/>
      <c r="M100" s="20"/>
      <c r="N100" s="20"/>
      <c r="O100" s="20"/>
      <c r="P100" s="20"/>
      <c r="Q100" s="20"/>
      <c r="R100" s="20"/>
      <c r="S100" s="20"/>
      <c r="T100" s="20"/>
      <c r="U100" s="20"/>
      <c r="V100" s="20"/>
      <c r="W100" s="20"/>
    </row>
    <row r="101" spans="1:23" x14ac:dyDescent="0.25">
      <c r="A101" s="20"/>
      <c r="B101" s="20"/>
      <c r="C101" s="20"/>
      <c r="D101" s="20"/>
      <c r="E101" s="20"/>
      <c r="F101" s="20"/>
      <c r="G101" s="20"/>
      <c r="H101" s="20"/>
      <c r="I101" s="20"/>
      <c r="J101" s="20">
        <v>96</v>
      </c>
      <c r="K101" s="20">
        <v>21</v>
      </c>
      <c r="L101" s="20"/>
      <c r="M101" s="20"/>
      <c r="N101" s="20"/>
      <c r="O101" s="20"/>
      <c r="P101" s="20"/>
      <c r="Q101" s="20"/>
      <c r="R101" s="20"/>
      <c r="S101" s="20"/>
      <c r="T101" s="20"/>
      <c r="U101" s="20"/>
      <c r="V101" s="20"/>
      <c r="W101" s="20"/>
    </row>
    <row r="102" spans="1:23" x14ac:dyDescent="0.25">
      <c r="A102" s="20"/>
      <c r="B102" s="20"/>
      <c r="C102" s="20"/>
      <c r="D102" s="20"/>
      <c r="E102" s="20"/>
      <c r="F102" s="20"/>
      <c r="G102" s="20"/>
      <c r="H102" s="20"/>
      <c r="I102" s="20"/>
      <c r="J102" s="20">
        <v>97</v>
      </c>
      <c r="K102" s="20">
        <v>21</v>
      </c>
      <c r="L102" s="20"/>
      <c r="M102" s="20"/>
      <c r="N102" s="20"/>
      <c r="O102" s="20"/>
      <c r="P102" s="20"/>
      <c r="Q102" s="20"/>
      <c r="R102" s="20"/>
      <c r="S102" s="20"/>
      <c r="T102" s="20"/>
      <c r="U102" s="20"/>
      <c r="V102" s="20"/>
      <c r="W102" s="20"/>
    </row>
    <row r="103" spans="1:23" x14ac:dyDescent="0.25">
      <c r="A103" s="20"/>
      <c r="B103" s="20"/>
      <c r="C103" s="20"/>
      <c r="D103" s="20"/>
      <c r="E103" s="20"/>
      <c r="F103" s="20"/>
      <c r="G103" s="20"/>
      <c r="H103" s="20"/>
      <c r="I103" s="20"/>
      <c r="J103" s="20">
        <v>98</v>
      </c>
      <c r="K103" s="20">
        <v>21</v>
      </c>
      <c r="L103" s="20"/>
      <c r="M103" s="20"/>
      <c r="N103" s="20"/>
      <c r="O103" s="20"/>
      <c r="P103" s="20"/>
      <c r="Q103" s="20"/>
      <c r="R103" s="20"/>
      <c r="S103" s="20"/>
      <c r="T103" s="20"/>
      <c r="U103" s="20"/>
      <c r="V103" s="20"/>
      <c r="W103" s="20"/>
    </row>
    <row r="104" spans="1:23" x14ac:dyDescent="0.25">
      <c r="A104" s="20"/>
      <c r="B104" s="20"/>
      <c r="C104" s="20"/>
      <c r="D104" s="20"/>
      <c r="E104" s="20"/>
      <c r="F104" s="20"/>
      <c r="G104" s="20"/>
      <c r="H104" s="20"/>
      <c r="I104" s="20"/>
      <c r="J104" s="20">
        <v>99</v>
      </c>
      <c r="K104" s="20">
        <v>21</v>
      </c>
      <c r="L104" s="20"/>
      <c r="M104" s="20"/>
      <c r="N104" s="20"/>
      <c r="O104" s="20"/>
      <c r="P104" s="20"/>
      <c r="Q104" s="20"/>
      <c r="R104" s="20"/>
      <c r="S104" s="20"/>
      <c r="T104" s="20"/>
      <c r="U104" s="20"/>
      <c r="V104" s="20"/>
      <c r="W104" s="20"/>
    </row>
    <row r="105" spans="1:23" x14ac:dyDescent="0.25">
      <c r="A105" s="20"/>
      <c r="B105" s="20"/>
      <c r="C105" s="20"/>
      <c r="D105" s="20"/>
      <c r="E105" s="20"/>
      <c r="F105" s="20"/>
      <c r="G105" s="20"/>
      <c r="H105" s="20"/>
      <c r="I105" s="20"/>
      <c r="J105" s="20">
        <v>100</v>
      </c>
      <c r="K105" s="20">
        <v>21</v>
      </c>
      <c r="L105" s="20"/>
      <c r="M105" s="20"/>
      <c r="N105" s="20"/>
      <c r="O105" s="20"/>
      <c r="P105" s="20"/>
      <c r="Q105" s="20"/>
      <c r="R105" s="20"/>
      <c r="S105" s="20"/>
      <c r="T105" s="20"/>
      <c r="U105" s="20"/>
      <c r="V105" s="20"/>
      <c r="W105" s="20"/>
    </row>
  </sheetData>
  <dataValidations count="1">
    <dataValidation type="list" allowBlank="1" showInputMessage="1" showErrorMessage="1" sqref="A13 A20:A22" xr:uid="{00000000-0002-0000-0600-000000000000}">
      <formula1>$A$31:$A$40</formula1>
    </dataValidation>
  </dataValidation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4"/>
  <sheetViews>
    <sheetView workbookViewId="0"/>
  </sheetViews>
  <sheetFormatPr defaultRowHeight="15.75" x14ac:dyDescent="0.25"/>
  <cols>
    <col min="2" max="2" width="11.25" customWidth="1"/>
  </cols>
  <sheetData>
    <row r="1" spans="1:12" x14ac:dyDescent="0.25">
      <c r="A1" s="3" t="str">
        <f>Name</f>
        <v>Name</v>
      </c>
      <c r="C1" s="7" t="s">
        <v>45</v>
      </c>
      <c r="D1" t="str">
        <f>Date</f>
        <v>26 XIV 2505</v>
      </c>
    </row>
    <row r="3" spans="1:12" x14ac:dyDescent="0.25">
      <c r="A3" s="2" t="s">
        <v>543</v>
      </c>
    </row>
    <row r="5" spans="1:12" x14ac:dyDescent="0.25">
      <c r="B5" s="12" t="s">
        <v>544</v>
      </c>
      <c r="I5" s="12" t="s">
        <v>1008</v>
      </c>
    </row>
    <row r="7" spans="1:12" x14ac:dyDescent="0.25">
      <c r="A7">
        <v>1</v>
      </c>
      <c r="B7" s="3" t="s">
        <v>545</v>
      </c>
      <c r="H7">
        <v>1</v>
      </c>
      <c r="I7" s="3" t="s">
        <v>545</v>
      </c>
    </row>
    <row r="8" spans="1:12" x14ac:dyDescent="0.25">
      <c r="B8" s="7" t="s">
        <v>367</v>
      </c>
      <c r="C8" t="str">
        <f>IF('Characteristics &amp; Experience'!$D$22="No","FALSE",ROUNDDOWN(PlL*4,0))</f>
        <v>FALSE</v>
      </c>
      <c r="D8" t="s">
        <v>546</v>
      </c>
      <c r="E8" t="s">
        <v>547</v>
      </c>
      <c r="I8" t="s">
        <v>367</v>
      </c>
      <c r="J8" t="str">
        <f>IF('Characteristics &amp; Experience'!$D$22="No","FALSE",ROUNDDOWN(PlL*2,0))</f>
        <v>FALSE</v>
      </c>
      <c r="K8" t="s">
        <v>546</v>
      </c>
      <c r="L8" t="s">
        <v>547</v>
      </c>
    </row>
    <row r="9" spans="1:12" x14ac:dyDescent="0.25">
      <c r="B9" t="s">
        <v>548</v>
      </c>
      <c r="I9" t="s">
        <v>1009</v>
      </c>
    </row>
    <row r="10" spans="1:12" x14ac:dyDescent="0.25">
      <c r="A10">
        <v>2</v>
      </c>
      <c r="B10" s="3" t="s">
        <v>549</v>
      </c>
      <c r="H10">
        <v>2</v>
      </c>
      <c r="I10" s="3" t="s">
        <v>1013</v>
      </c>
    </row>
    <row r="11" spans="1:12" x14ac:dyDescent="0.25">
      <c r="B11" s="14" t="s">
        <v>1014</v>
      </c>
      <c r="C11" t="str">
        <f>IF('Characteristics &amp; Experience'!$D$22="No","FALSE",ROUNDDOWN(PlL,0))</f>
        <v>FALSE</v>
      </c>
      <c r="I11" t="s">
        <v>1010</v>
      </c>
      <c r="J11" t="str">
        <f>IF('Characteristics &amp; Experience'!$D$22="No","FALSE",ROUNDDOWN(PlL,0))</f>
        <v>FALSE</v>
      </c>
      <c r="K11" t="s">
        <v>1197</v>
      </c>
    </row>
    <row r="12" spans="1:12" x14ac:dyDescent="0.25">
      <c r="A12">
        <v>3</v>
      </c>
      <c r="B12" s="3" t="s">
        <v>550</v>
      </c>
      <c r="H12">
        <v>3</v>
      </c>
      <c r="I12" s="3" t="s">
        <v>1015</v>
      </c>
    </row>
    <row r="13" spans="1:12" x14ac:dyDescent="0.25">
      <c r="B13" s="14" t="s">
        <v>551</v>
      </c>
      <c r="C13" t="str">
        <f>IF('Characteristics &amp; Experience'!$D$22="No","FALSE",ROUNDDOWN(PlL,0))</f>
        <v>FALSE</v>
      </c>
      <c r="D13" t="s">
        <v>552</v>
      </c>
      <c r="I13" s="1" t="s">
        <v>1011</v>
      </c>
      <c r="J13" t="str">
        <f>IF('Characteristics &amp; Experience'!$D$22="No","FALSE",ROUNDDOWN(PlL/2,0))</f>
        <v>FALSE</v>
      </c>
    </row>
    <row r="14" spans="1:12" x14ac:dyDescent="0.25">
      <c r="A14">
        <v>4</v>
      </c>
      <c r="B14" s="3" t="s">
        <v>553</v>
      </c>
      <c r="H14">
        <v>4</v>
      </c>
      <c r="I14" s="3" t="s">
        <v>342</v>
      </c>
    </row>
    <row r="15" spans="1:12" x14ac:dyDescent="0.25">
      <c r="B15" s="14" t="s">
        <v>554</v>
      </c>
      <c r="C15" t="str">
        <f>IF('Characteristics &amp; Experience'!$D$22="No","FALSE",10*ROUNDDOWN(PlL,0))</f>
        <v>FALSE</v>
      </c>
      <c r="I15" s="4" t="s">
        <v>554</v>
      </c>
      <c r="J15" t="str">
        <f>IF('Characteristics &amp; Experience'!$D$22="No","FALSE",5*ROUNDDOWN(PlL,0))</f>
        <v>FALSE</v>
      </c>
    </row>
    <row r="16" spans="1:12" x14ac:dyDescent="0.25">
      <c r="A16">
        <v>5</v>
      </c>
      <c r="B16" s="3" t="s">
        <v>555</v>
      </c>
      <c r="H16">
        <v>5</v>
      </c>
      <c r="I16" s="3" t="s">
        <v>1012</v>
      </c>
    </row>
    <row r="17" spans="1:10" x14ac:dyDescent="0.25">
      <c r="B17" s="14" t="s">
        <v>554</v>
      </c>
      <c r="C17" t="str">
        <f>IF('Characteristics &amp; Experience'!$D$22="No","FALSE",10*ROUNDDOWN(PlL,0))</f>
        <v>FALSE</v>
      </c>
      <c r="I17" s="4" t="s">
        <v>554</v>
      </c>
      <c r="J17" t="str">
        <f>IF('Characteristics &amp; Experience'!$D$22="No","FALSE",5*ROUNDDOWN(PlL,0))</f>
        <v>FALSE</v>
      </c>
    </row>
    <row r="20" spans="1:10" x14ac:dyDescent="0.25">
      <c r="A20">
        <v>6</v>
      </c>
      <c r="B20" s="3" t="s">
        <v>556</v>
      </c>
    </row>
    <row r="21" spans="1:10" x14ac:dyDescent="0.25">
      <c r="B21" s="12" t="s">
        <v>557</v>
      </c>
    </row>
    <row r="22" spans="1:10" x14ac:dyDescent="0.25">
      <c r="B22" t="s">
        <v>558</v>
      </c>
    </row>
    <row r="23" spans="1:10" x14ac:dyDescent="0.25">
      <c r="B23" t="s">
        <v>559</v>
      </c>
    </row>
    <row r="24" spans="1:10" x14ac:dyDescent="0.25">
      <c r="B24" t="s">
        <v>560</v>
      </c>
    </row>
  </sheetData>
  <phoneticPr fontId="0"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90"/>
  <sheetViews>
    <sheetView zoomScaleNormal="100" workbookViewId="0"/>
  </sheetViews>
  <sheetFormatPr defaultRowHeight="15.75" x14ac:dyDescent="0.25"/>
  <cols>
    <col min="3" max="3" width="9.5" customWidth="1"/>
    <col min="5" max="5" width="9.375" customWidth="1"/>
    <col min="10" max="10" width="7.75" customWidth="1"/>
  </cols>
  <sheetData>
    <row r="1" spans="1:26" x14ac:dyDescent="0.25">
      <c r="A1" s="3" t="str">
        <f>Name</f>
        <v>Name</v>
      </c>
      <c r="D1" s="7" t="s">
        <v>45</v>
      </c>
      <c r="E1" t="str">
        <f>Date</f>
        <v>26 XIV 2505</v>
      </c>
      <c r="L1" s="20"/>
      <c r="M1" s="20"/>
      <c r="N1" s="20"/>
      <c r="O1" s="20"/>
      <c r="P1" s="20"/>
      <c r="Q1" s="20"/>
      <c r="R1" s="20"/>
      <c r="S1" s="20"/>
      <c r="T1" s="20"/>
      <c r="U1" s="20"/>
      <c r="V1" s="20"/>
      <c r="W1" s="20"/>
      <c r="X1" s="20"/>
      <c r="Y1" s="20"/>
      <c r="Z1" s="20"/>
    </row>
    <row r="2" spans="1:26" x14ac:dyDescent="0.25">
      <c r="L2" s="20"/>
      <c r="M2" s="20"/>
      <c r="N2" s="20"/>
      <c r="O2" s="20"/>
      <c r="P2" s="20"/>
      <c r="Q2" s="20"/>
      <c r="R2" s="20"/>
      <c r="S2" s="20"/>
      <c r="T2" s="20"/>
      <c r="U2" s="20"/>
      <c r="V2" s="20"/>
      <c r="W2" s="20"/>
      <c r="X2" s="20"/>
      <c r="Y2" s="20"/>
      <c r="Z2" s="20"/>
    </row>
    <row r="3" spans="1:26" x14ac:dyDescent="0.25">
      <c r="A3" s="2" t="s">
        <v>561</v>
      </c>
      <c r="L3" s="20"/>
      <c r="M3" s="20"/>
      <c r="N3" s="20"/>
      <c r="O3" s="20"/>
      <c r="P3" s="20"/>
      <c r="Q3" s="20"/>
      <c r="R3" s="20"/>
      <c r="S3" s="20"/>
      <c r="T3" s="20"/>
      <c r="U3" s="20"/>
      <c r="V3" s="20"/>
      <c r="W3" s="20"/>
      <c r="X3" s="20"/>
      <c r="Y3" s="20"/>
      <c r="Z3" s="20"/>
    </row>
    <row r="4" spans="1:26" x14ac:dyDescent="0.25">
      <c r="A4" s="3" t="s">
        <v>562</v>
      </c>
      <c r="K4" s="5" t="s">
        <v>563</v>
      </c>
      <c r="L4" s="20"/>
      <c r="M4" s="20"/>
      <c r="N4" s="20"/>
      <c r="O4" s="20"/>
      <c r="P4" s="20"/>
      <c r="Q4" s="20"/>
      <c r="R4" s="20"/>
      <c r="S4" s="20"/>
      <c r="T4" s="20"/>
      <c r="U4" s="20"/>
      <c r="V4" s="20"/>
      <c r="W4" s="20"/>
      <c r="X4" s="20"/>
      <c r="Y4" s="20"/>
      <c r="Z4" s="20"/>
    </row>
    <row r="5" spans="1:26" x14ac:dyDescent="0.25">
      <c r="A5" s="24" t="s">
        <v>564</v>
      </c>
      <c r="B5" s="24"/>
      <c r="C5" s="24"/>
      <c r="D5" s="24"/>
      <c r="K5" s="24">
        <v>10</v>
      </c>
      <c r="L5" s="20"/>
      <c r="M5" s="20"/>
      <c r="N5" s="20"/>
      <c r="O5" s="20"/>
      <c r="P5" s="20"/>
      <c r="Q5" s="20"/>
      <c r="R5" s="20"/>
      <c r="S5" s="20"/>
      <c r="T5" s="20"/>
      <c r="U5" s="20"/>
      <c r="V5" s="20"/>
      <c r="W5" s="20"/>
      <c r="X5" s="20"/>
      <c r="Y5" s="20"/>
      <c r="Z5" s="20"/>
    </row>
    <row r="6" spans="1:26" x14ac:dyDescent="0.25">
      <c r="A6" s="24" t="s">
        <v>565</v>
      </c>
      <c r="B6" s="24"/>
      <c r="C6" s="24"/>
      <c r="D6" s="24"/>
      <c r="K6" s="24">
        <v>5</v>
      </c>
      <c r="L6" s="20"/>
      <c r="M6" s="20"/>
      <c r="N6" s="20"/>
      <c r="O6" s="20"/>
      <c r="P6" s="20"/>
      <c r="Q6" s="20"/>
      <c r="R6" s="20"/>
      <c r="S6" s="20"/>
      <c r="T6" s="20"/>
      <c r="U6" s="20"/>
      <c r="V6" s="20"/>
      <c r="W6" s="20"/>
      <c r="X6" s="20"/>
      <c r="Y6" s="20"/>
      <c r="Z6" s="20"/>
    </row>
    <row r="7" spans="1:26" x14ac:dyDescent="0.25">
      <c r="A7" s="24" t="s">
        <v>566</v>
      </c>
      <c r="B7" s="24" t="s">
        <v>567</v>
      </c>
      <c r="C7" s="24"/>
      <c r="D7" s="24"/>
      <c r="K7" s="24"/>
      <c r="L7" s="20"/>
      <c r="M7" s="20"/>
      <c r="N7" s="20"/>
      <c r="O7" s="20"/>
      <c r="P7" s="20"/>
      <c r="Q7" s="20"/>
      <c r="R7" s="20"/>
      <c r="S7" s="20"/>
      <c r="T7" s="20"/>
      <c r="U7" s="20"/>
      <c r="V7" s="20"/>
      <c r="W7" s="20"/>
      <c r="X7" s="20"/>
      <c r="Y7" s="20"/>
      <c r="Z7" s="20"/>
    </row>
    <row r="8" spans="1:26" x14ac:dyDescent="0.25">
      <c r="A8" t="s">
        <v>568</v>
      </c>
      <c r="K8">
        <v>2</v>
      </c>
      <c r="L8" s="20"/>
      <c r="M8" s="20"/>
      <c r="N8" s="20"/>
      <c r="O8" s="20"/>
      <c r="P8" s="20"/>
      <c r="Q8" s="20"/>
      <c r="R8" s="20"/>
      <c r="S8" s="20"/>
      <c r="T8" s="20"/>
      <c r="U8" s="20"/>
      <c r="V8" s="20"/>
      <c r="W8" s="20"/>
      <c r="X8" s="20"/>
      <c r="Y8" s="20"/>
      <c r="Z8" s="20"/>
    </row>
    <row r="9" spans="1:26" x14ac:dyDescent="0.25">
      <c r="B9" s="12" t="s">
        <v>284</v>
      </c>
      <c r="C9" s="12" t="s">
        <v>569</v>
      </c>
      <c r="J9" s="28" t="s">
        <v>266</v>
      </c>
      <c r="L9" s="20"/>
      <c r="M9" s="20"/>
      <c r="N9" s="20"/>
      <c r="O9" s="20"/>
      <c r="P9" s="20"/>
      <c r="Q9" s="20"/>
      <c r="R9" s="20"/>
      <c r="S9" s="20"/>
      <c r="T9" s="20"/>
      <c r="U9" s="20"/>
      <c r="V9" s="20"/>
      <c r="W9" s="20"/>
      <c r="X9" s="20"/>
      <c r="Y9" s="20"/>
      <c r="Z9" s="20"/>
    </row>
    <row r="10" spans="1:26" x14ac:dyDescent="0.25">
      <c r="A10" t="str">
        <f>'Fighter Abilities'!E31</f>
        <v>Steel w. visor down</v>
      </c>
      <c r="C10" t="str">
        <f>'Fighter Abilities'!A31</f>
        <v>Head</v>
      </c>
      <c r="J10">
        <f>IF(A10="None", " ", 'Fighter Abilities'!H31)</f>
        <v>75</v>
      </c>
      <c r="L10" s="20"/>
      <c r="M10" s="20"/>
      <c r="N10" s="20"/>
      <c r="O10" s="20"/>
      <c r="P10" s="20"/>
      <c r="Q10" s="20"/>
      <c r="R10" s="20"/>
      <c r="S10" s="20"/>
      <c r="T10" s="20"/>
      <c r="U10" s="20"/>
      <c r="V10" s="20"/>
      <c r="W10" s="20"/>
      <c r="X10" s="20"/>
      <c r="Y10" s="20"/>
      <c r="Z10" s="20"/>
    </row>
    <row r="11" spans="1:26" x14ac:dyDescent="0.25">
      <c r="A11" t="str">
        <f>'Fighter Abilities'!E32</f>
        <v>Leather</v>
      </c>
      <c r="C11" t="str">
        <f>'Fighter Abilities'!A32</f>
        <v>Arm (Shield)</v>
      </c>
      <c r="J11">
        <f>IF(A11="None", " ", 'Fighter Abilities'!H32)</f>
        <v>35</v>
      </c>
      <c r="L11" s="20"/>
      <c r="M11" s="20"/>
      <c r="N11" s="20"/>
      <c r="O11" s="20"/>
      <c r="P11" s="20"/>
      <c r="Q11" s="20"/>
      <c r="R11" s="20"/>
      <c r="S11" s="20"/>
      <c r="T11" s="20"/>
      <c r="U11" s="20"/>
      <c r="V11" s="20"/>
      <c r="W11" s="20"/>
      <c r="X11" s="20"/>
      <c r="Y11" s="20"/>
      <c r="Z11" s="20"/>
    </row>
    <row r="12" spans="1:26" x14ac:dyDescent="0.25">
      <c r="A12" t="str">
        <f>'Fighter Abilities'!E33</f>
        <v>Leather</v>
      </c>
      <c r="C12" t="str">
        <f>'Fighter Abilities'!A33</f>
        <v>Arm (Weapon)</v>
      </c>
      <c r="J12">
        <f>IF(A12="None", " ", 'Fighter Abilities'!H33)</f>
        <v>35</v>
      </c>
      <c r="L12" s="20"/>
      <c r="M12" s="20"/>
      <c r="N12" s="20"/>
      <c r="O12" s="20"/>
      <c r="P12" s="20"/>
      <c r="Q12" s="20"/>
      <c r="R12" s="20"/>
      <c r="S12" s="20"/>
      <c r="T12" s="20"/>
      <c r="U12" s="20"/>
      <c r="V12" s="20"/>
      <c r="W12" s="20"/>
      <c r="X12" s="20"/>
      <c r="Y12" s="20"/>
      <c r="Z12" s="20"/>
    </row>
    <row r="13" spans="1:26" x14ac:dyDescent="0.25">
      <c r="A13" t="str">
        <f>'Fighter Abilities'!E34</f>
        <v>Platemail</v>
      </c>
      <c r="C13" t="str">
        <f>'Fighter Abilities'!A34</f>
        <v>Chest</v>
      </c>
      <c r="J13">
        <f>IF(A13="None", " ", 'Fighter Abilities'!H34)</f>
        <v>215</v>
      </c>
      <c r="L13" s="20"/>
      <c r="M13" s="20"/>
      <c r="N13" s="20"/>
      <c r="O13" s="20"/>
      <c r="P13" s="20"/>
      <c r="Q13" s="20"/>
      <c r="R13" s="20"/>
      <c r="S13" s="20"/>
      <c r="T13" s="20"/>
      <c r="U13" s="20"/>
      <c r="V13" s="20"/>
      <c r="W13" s="20"/>
      <c r="X13" s="20"/>
      <c r="Y13" s="20"/>
      <c r="Z13" s="20"/>
    </row>
    <row r="14" spans="1:26" x14ac:dyDescent="0.25">
      <c r="A14" t="str">
        <f>'Fighter Abilities'!E35</f>
        <v>Leather</v>
      </c>
      <c r="C14" t="str">
        <f>'Fighter Abilities'!A35</f>
        <v>Abdomen</v>
      </c>
      <c r="J14">
        <f>IF(A14="None", " ", 'Fighter Abilities'!H35)</f>
        <v>35</v>
      </c>
      <c r="L14" s="20"/>
      <c r="M14" s="20"/>
      <c r="N14" s="20"/>
      <c r="O14" s="20"/>
      <c r="P14" s="20"/>
      <c r="Q14" s="20"/>
      <c r="R14" s="20"/>
      <c r="S14" s="20"/>
      <c r="T14" s="20"/>
      <c r="U14" s="20"/>
      <c r="V14" s="20"/>
      <c r="W14" s="20"/>
      <c r="X14" s="20"/>
      <c r="Y14" s="20"/>
      <c r="Z14" s="20"/>
    </row>
    <row r="15" spans="1:26" x14ac:dyDescent="0.25">
      <c r="A15" t="str">
        <f>'Fighter Abilities'!E36</f>
        <v>Leather</v>
      </c>
      <c r="C15" t="str">
        <f>'Fighter Abilities'!A36</f>
        <v>Leg (L)</v>
      </c>
      <c r="J15">
        <f>IF(A15="None", " ", 'Fighter Abilities'!H36)</f>
        <v>35</v>
      </c>
      <c r="L15" s="20"/>
      <c r="M15" s="20"/>
      <c r="N15" s="20"/>
      <c r="O15" s="20"/>
      <c r="P15" s="20"/>
      <c r="Q15" s="20"/>
      <c r="R15" s="20"/>
      <c r="S15" s="20"/>
      <c r="T15" s="20"/>
      <c r="U15" s="20"/>
      <c r="V15" s="20"/>
      <c r="W15" s="20"/>
      <c r="X15" s="20"/>
      <c r="Y15" s="20"/>
      <c r="Z15" s="20"/>
    </row>
    <row r="16" spans="1:26" x14ac:dyDescent="0.25">
      <c r="A16" t="str">
        <f>'Fighter Abilities'!E37</f>
        <v>Leather</v>
      </c>
      <c r="C16" t="str">
        <f>'Fighter Abilities'!A37</f>
        <v>Leg (R)</v>
      </c>
      <c r="J16">
        <f>IF(A16="None", " ", 'Fighter Abilities'!H37)</f>
        <v>35</v>
      </c>
      <c r="L16" s="20"/>
      <c r="M16" s="20"/>
      <c r="N16" s="20"/>
      <c r="O16" s="20"/>
      <c r="P16" s="20"/>
      <c r="Q16" s="20"/>
      <c r="R16" s="20"/>
      <c r="S16" s="20"/>
      <c r="T16" s="20"/>
      <c r="U16" s="20"/>
      <c r="V16" s="20"/>
      <c r="W16" s="20"/>
      <c r="X16" s="20"/>
      <c r="Y16" s="20"/>
      <c r="Z16" s="20"/>
    </row>
    <row r="17" spans="1:26" x14ac:dyDescent="0.25">
      <c r="J17" s="7" t="s">
        <v>997</v>
      </c>
      <c r="K17" s="195">
        <f>SUM(J10:J16)</f>
        <v>465</v>
      </c>
      <c r="L17" s="20"/>
      <c r="M17" s="20"/>
      <c r="N17" s="20"/>
      <c r="O17" s="20"/>
      <c r="P17" s="20"/>
      <c r="Q17" s="20"/>
      <c r="R17" s="20"/>
      <c r="S17" s="20"/>
      <c r="T17" s="20"/>
      <c r="U17" s="20"/>
      <c r="V17" s="20"/>
      <c r="W17" s="20"/>
      <c r="X17" s="20"/>
      <c r="Y17" s="20"/>
      <c r="Z17" s="20"/>
    </row>
    <row r="18" spans="1:26" x14ac:dyDescent="0.25">
      <c r="A18" s="24" t="s">
        <v>570</v>
      </c>
      <c r="D18" s="28" t="str">
        <f>IF(A18="no shield", " ", "ADS (normal)")</f>
        <v>ADS (normal)</v>
      </c>
      <c r="E18">
        <f>VLOOKUP(A18, A77:F80, 4, FALSE)</f>
        <v>3</v>
      </c>
      <c r="G18" s="28" t="str">
        <f>IF(D18="no shield", " ", "ADS (bonus)")</f>
        <v>ADS (bonus)</v>
      </c>
      <c r="H18" s="24"/>
      <c r="K18">
        <f>IF(A18="no shield", " ",VLOOKUP(A18, A77:F80, 3, FALSE))</f>
        <v>35</v>
      </c>
      <c r="L18" s="20"/>
      <c r="M18" s="20"/>
      <c r="N18" s="20"/>
      <c r="O18" s="20"/>
      <c r="P18" s="20"/>
      <c r="Q18" s="20"/>
      <c r="R18" s="20"/>
      <c r="S18" s="20"/>
      <c r="T18" s="20"/>
      <c r="U18" s="20"/>
      <c r="V18" s="20"/>
      <c r="W18" s="20"/>
      <c r="X18" s="20"/>
      <c r="Y18" s="20"/>
      <c r="Z18" s="20"/>
    </row>
    <row r="19" spans="1:26" x14ac:dyDescent="0.25">
      <c r="B19" s="12" t="s">
        <v>571</v>
      </c>
      <c r="C19" s="12" t="s">
        <v>572</v>
      </c>
      <c r="D19" s="28" t="s">
        <v>573</v>
      </c>
      <c r="E19" s="28" t="s">
        <v>574</v>
      </c>
      <c r="F19" s="28" t="s">
        <v>575</v>
      </c>
      <c r="L19" s="20"/>
      <c r="M19" s="20"/>
      <c r="N19" s="20"/>
      <c r="O19" s="20"/>
      <c r="P19" s="20"/>
      <c r="Q19" s="20"/>
      <c r="R19" s="20"/>
      <c r="S19" s="20"/>
      <c r="T19" s="20"/>
      <c r="U19" s="20"/>
      <c r="V19" s="20"/>
      <c r="W19" s="20"/>
      <c r="X19" s="20"/>
      <c r="Y19" s="20"/>
      <c r="Z19" s="20"/>
    </row>
    <row r="20" spans="1:26" x14ac:dyDescent="0.25">
      <c r="A20" t="str">
        <f>'Fighter Abilities'!C13</f>
        <v>Broad Sword</v>
      </c>
      <c r="C20" s="24">
        <v>1</v>
      </c>
      <c r="D20">
        <f>'Fighter Abilities'!O13</f>
        <v>0</v>
      </c>
      <c r="E20" t="str">
        <f>'Fighter Abilities'!P13</f>
        <v/>
      </c>
      <c r="F20">
        <f>'Fighter Abilities'!Q13</f>
        <v>0</v>
      </c>
      <c r="K20">
        <f>IF(C20=0," ",C20*'Fighter Abilities'!V13)</f>
        <v>75</v>
      </c>
      <c r="L20" s="20"/>
      <c r="M20" s="20"/>
      <c r="N20" s="20"/>
      <c r="O20" s="20"/>
      <c r="P20" s="20"/>
      <c r="Q20" s="20"/>
      <c r="R20" s="20"/>
      <c r="S20" s="20"/>
      <c r="T20" s="20"/>
      <c r="U20" s="20"/>
      <c r="V20" s="20"/>
      <c r="W20" s="20"/>
      <c r="X20" s="20"/>
      <c r="Y20" s="20"/>
      <c r="Z20" s="20"/>
    </row>
    <row r="21" spans="1:26" x14ac:dyDescent="0.25">
      <c r="A21" t="s">
        <v>270</v>
      </c>
      <c r="C21" s="24">
        <v>1</v>
      </c>
      <c r="D21">
        <f>'Fighter Abilities'!O15</f>
        <v>1</v>
      </c>
      <c r="E21">
        <f>'Fighter Abilities'!P15</f>
        <v>1</v>
      </c>
      <c r="F21">
        <f>'Fighter Abilities'!Q15</f>
        <v>0</v>
      </c>
      <c r="K21">
        <f>IF(C21=0," ",C21*'Fighter Abilities'!V15)</f>
        <v>20</v>
      </c>
      <c r="L21" s="20"/>
      <c r="M21" s="20"/>
      <c r="N21" s="20"/>
      <c r="O21" s="20"/>
      <c r="P21" s="20"/>
      <c r="Q21" s="20"/>
      <c r="R21" s="20"/>
      <c r="S21" s="20"/>
      <c r="T21" s="20"/>
      <c r="U21" s="20"/>
      <c r="V21" s="20"/>
      <c r="W21" s="20"/>
      <c r="X21" s="20"/>
      <c r="Y21" s="20"/>
      <c r="Z21" s="20"/>
    </row>
    <row r="22" spans="1:26" x14ac:dyDescent="0.25">
      <c r="A22" t="str">
        <f>'Fighter Abilities'!C16</f>
        <v>Hand Axe</v>
      </c>
      <c r="C22" s="24">
        <v>1</v>
      </c>
      <c r="D22">
        <f>'Fighter Abilities'!O16</f>
        <v>0</v>
      </c>
      <c r="E22">
        <f>'Fighter Abilities'!P16</f>
        <v>1</v>
      </c>
      <c r="F22">
        <f>'Fighter Abilities'!Q16</f>
        <v>0</v>
      </c>
      <c r="K22">
        <f>IF(C22=0," ",C22*'Fighter Abilities'!V16)</f>
        <v>50</v>
      </c>
      <c r="L22" s="20"/>
      <c r="M22" s="20"/>
      <c r="N22" s="20"/>
      <c r="O22" s="20"/>
      <c r="P22" s="20"/>
      <c r="Q22" s="20"/>
      <c r="R22" s="20"/>
      <c r="S22" s="20"/>
      <c r="T22" s="20"/>
      <c r="U22" s="20"/>
      <c r="V22" s="20"/>
      <c r="W22" s="20"/>
      <c r="X22" s="20"/>
      <c r="Y22" s="20"/>
      <c r="Z22" s="20"/>
    </row>
    <row r="23" spans="1:26" x14ac:dyDescent="0.25">
      <c r="L23" s="20"/>
      <c r="M23" s="20"/>
      <c r="N23" s="20"/>
      <c r="O23" s="20"/>
      <c r="P23" s="20"/>
      <c r="Q23" s="20"/>
      <c r="R23" s="20"/>
      <c r="S23" s="20"/>
      <c r="T23" s="20"/>
      <c r="U23" s="20"/>
      <c r="V23" s="20"/>
      <c r="W23" s="20"/>
      <c r="X23" s="20"/>
      <c r="Y23" s="20"/>
      <c r="Z23" s="20"/>
    </row>
    <row r="24" spans="1:26" x14ac:dyDescent="0.25">
      <c r="A24" t="str">
        <f>'Fighter Abilities'!C22</f>
        <v>Heavy Crossbow</v>
      </c>
      <c r="C24" s="24">
        <v>1</v>
      </c>
      <c r="D24">
        <f>'Fighter Abilities'!O22</f>
        <v>0</v>
      </c>
      <c r="E24">
        <f>'Fighter Abilities'!P22</f>
        <v>0</v>
      </c>
      <c r="F24">
        <f>'Fighter Abilities'!Q22</f>
        <v>0</v>
      </c>
      <c r="J24">
        <f>'Fighter Abilities'!V22</f>
        <v>75</v>
      </c>
      <c r="K24">
        <f>IF(C24=0," ",C24*SUM(J24:J25))</f>
        <v>75</v>
      </c>
      <c r="L24" s="20"/>
      <c r="M24" s="20"/>
      <c r="N24" s="20"/>
      <c r="O24" s="20"/>
      <c r="P24" s="20"/>
      <c r="Q24" s="20"/>
      <c r="R24" s="20"/>
      <c r="S24" s="20"/>
      <c r="T24" s="20"/>
      <c r="U24" s="20"/>
      <c r="V24" s="20"/>
      <c r="W24" s="20"/>
      <c r="X24" s="20"/>
      <c r="Y24" s="20"/>
      <c r="Z24" s="20"/>
    </row>
    <row r="25" spans="1:26" x14ac:dyDescent="0.25">
      <c r="A25" t="s">
        <v>576</v>
      </c>
      <c r="B25">
        <v>15</v>
      </c>
      <c r="C25" t="s">
        <v>577</v>
      </c>
      <c r="D25">
        <v>5</v>
      </c>
      <c r="E25" t="s">
        <v>578</v>
      </c>
      <c r="I25" s="7" t="s">
        <v>579</v>
      </c>
      <c r="J25">
        <f>5+B25+D25-25</f>
        <v>0</v>
      </c>
      <c r="L25" s="20"/>
      <c r="M25" s="20"/>
      <c r="N25" s="20"/>
      <c r="O25" s="20"/>
      <c r="P25" s="20"/>
      <c r="Q25" s="20"/>
      <c r="R25" s="20"/>
      <c r="S25" s="20"/>
      <c r="T25" s="20"/>
      <c r="U25" s="20"/>
      <c r="V25" s="20"/>
      <c r="W25" s="20"/>
      <c r="X25" s="20"/>
      <c r="Y25" s="20"/>
      <c r="Z25" s="20"/>
    </row>
    <row r="26" spans="1:26" x14ac:dyDescent="0.25">
      <c r="L26" s="20"/>
      <c r="M26" s="20"/>
      <c r="N26" s="20"/>
      <c r="O26" s="20"/>
      <c r="P26" s="20"/>
      <c r="Q26" s="20"/>
      <c r="R26" s="20"/>
      <c r="S26" s="20"/>
      <c r="T26" s="20"/>
      <c r="U26" s="20"/>
      <c r="V26" s="20"/>
      <c r="W26" s="20"/>
      <c r="X26" s="20"/>
      <c r="Y26" s="20"/>
      <c r="Z26" s="20"/>
    </row>
    <row r="27" spans="1:26" x14ac:dyDescent="0.25">
      <c r="A27" t="str">
        <f>'Fighter Abilities'!C27</f>
        <v>Hand Axe Thrown</v>
      </c>
      <c r="C27" s="24">
        <v>1</v>
      </c>
      <c r="D27">
        <f>'Fighter Abilities'!O27</f>
        <v>0</v>
      </c>
      <c r="E27">
        <f>'Fighter Abilities'!P27</f>
        <v>1</v>
      </c>
      <c r="F27">
        <f>'Fighter Abilities'!Q27</f>
        <v>0</v>
      </c>
      <c r="K27">
        <f>IF(C27=0," ",C27*'Fighter Abilities'!V27)</f>
        <v>50</v>
      </c>
      <c r="L27" s="20"/>
      <c r="M27" s="20"/>
      <c r="N27" s="20"/>
      <c r="O27" s="20"/>
      <c r="P27" s="20"/>
      <c r="Q27" s="20"/>
      <c r="R27" s="20"/>
      <c r="S27" s="20"/>
      <c r="T27" s="20"/>
      <c r="U27" s="20"/>
      <c r="V27" s="20"/>
      <c r="W27" s="20"/>
      <c r="X27" s="20"/>
      <c r="Y27" s="20"/>
      <c r="Z27" s="20"/>
    </row>
    <row r="28" spans="1:26" x14ac:dyDescent="0.25">
      <c r="L28" s="20"/>
      <c r="M28" s="20"/>
      <c r="N28" s="20"/>
      <c r="O28" s="20"/>
      <c r="P28" s="20"/>
      <c r="Q28" s="20"/>
      <c r="R28" s="20"/>
      <c r="S28" s="20"/>
      <c r="T28" s="20"/>
      <c r="U28" s="20"/>
      <c r="V28" s="20"/>
      <c r="W28" s="20"/>
      <c r="X28" s="20"/>
      <c r="Y28" s="20"/>
      <c r="Z28" s="20"/>
    </row>
    <row r="29" spans="1:26" x14ac:dyDescent="0.25">
      <c r="A29" t="s">
        <v>580</v>
      </c>
      <c r="C29" s="24">
        <v>3</v>
      </c>
      <c r="K29">
        <f>IF(C29=0," ",C29)</f>
        <v>3</v>
      </c>
      <c r="L29" s="20"/>
      <c r="M29" s="20"/>
      <c r="N29" s="20"/>
      <c r="O29" s="20"/>
      <c r="P29" s="20"/>
      <c r="Q29" s="20"/>
      <c r="R29" s="20"/>
      <c r="S29" s="20"/>
      <c r="T29" s="20"/>
      <c r="U29" s="20"/>
      <c r="V29" s="20"/>
      <c r="W29" s="20"/>
      <c r="X29" s="20"/>
      <c r="Y29" s="20"/>
      <c r="Z29" s="20"/>
    </row>
    <row r="30" spans="1:26" x14ac:dyDescent="0.25">
      <c r="A30" t="s">
        <v>581</v>
      </c>
      <c r="C30" s="24">
        <v>2</v>
      </c>
      <c r="K30">
        <f>IF(C30=0," ",C30)</f>
        <v>2</v>
      </c>
      <c r="L30" s="20"/>
      <c r="M30" s="20"/>
      <c r="N30" s="20"/>
      <c r="O30" s="20"/>
      <c r="P30" s="20"/>
      <c r="Q30" s="20"/>
      <c r="R30" s="20"/>
      <c r="S30" s="20"/>
      <c r="T30" s="20"/>
      <c r="U30" s="20"/>
      <c r="V30" s="20"/>
      <c r="W30" s="20"/>
      <c r="X30" s="20"/>
      <c r="Y30" s="20"/>
      <c r="Z30" s="20"/>
    </row>
    <row r="31" spans="1:26" x14ac:dyDescent="0.25">
      <c r="A31" t="s">
        <v>582</v>
      </c>
      <c r="C31" s="24">
        <v>4</v>
      </c>
      <c r="K31">
        <f>IF(C31=0," ",3*C31)</f>
        <v>12</v>
      </c>
      <c r="L31" s="20"/>
      <c r="M31" s="20"/>
      <c r="N31" s="20"/>
      <c r="O31" s="20"/>
      <c r="P31" s="20"/>
      <c r="Q31" s="20"/>
      <c r="R31" s="20"/>
      <c r="S31" s="20"/>
      <c r="T31" s="20"/>
      <c r="U31" s="20"/>
      <c r="V31" s="20"/>
      <c r="W31" s="20"/>
      <c r="X31" s="20"/>
      <c r="Y31" s="20"/>
      <c r="Z31" s="20"/>
    </row>
    <row r="32" spans="1:26" x14ac:dyDescent="0.25">
      <c r="L32" s="20"/>
      <c r="M32" s="20"/>
      <c r="N32" s="20"/>
      <c r="O32" s="20"/>
      <c r="P32" s="20"/>
      <c r="Q32" s="20"/>
      <c r="R32" s="20"/>
      <c r="S32" s="20"/>
      <c r="T32" s="20"/>
      <c r="U32" s="20"/>
      <c r="V32" s="20"/>
      <c r="W32" s="20"/>
      <c r="X32" s="20"/>
      <c r="Y32" s="20"/>
      <c r="Z32" s="20"/>
    </row>
    <row r="33" spans="1:26" x14ac:dyDescent="0.25">
      <c r="A33" s="3" t="s">
        <v>583</v>
      </c>
      <c r="B33" s="3"/>
      <c r="C33" s="3"/>
      <c r="D33" s="3"/>
      <c r="E33" s="3"/>
      <c r="L33" s="20"/>
      <c r="M33" s="20"/>
      <c r="N33" s="20"/>
      <c r="O33" s="20"/>
      <c r="P33" s="20"/>
      <c r="Q33" s="20"/>
      <c r="R33" s="20"/>
      <c r="S33" s="20"/>
      <c r="T33" s="20"/>
      <c r="U33" s="20"/>
      <c r="V33" s="20"/>
      <c r="W33" s="20"/>
      <c r="X33" s="20"/>
      <c r="Y33" s="20"/>
      <c r="Z33" s="20"/>
    </row>
    <row r="34" spans="1:26" x14ac:dyDescent="0.25">
      <c r="A34" s="3" t="s">
        <v>584</v>
      </c>
      <c r="B34" s="3" t="s">
        <v>585</v>
      </c>
      <c r="C34" s="3" t="s">
        <v>265</v>
      </c>
      <c r="D34" s="3" t="s">
        <v>586</v>
      </c>
      <c r="E34" s="3" t="s">
        <v>587</v>
      </c>
      <c r="L34" s="20"/>
      <c r="M34" s="20"/>
      <c r="N34" s="20"/>
      <c r="O34" s="20"/>
      <c r="P34" s="20"/>
      <c r="Q34" s="20"/>
      <c r="R34" s="20"/>
      <c r="S34" s="20"/>
      <c r="T34" s="20"/>
      <c r="U34" s="20"/>
      <c r="V34" s="20"/>
      <c r="W34" s="20"/>
      <c r="X34" s="20"/>
      <c r="Y34" s="20"/>
      <c r="Z34" s="20"/>
    </row>
    <row r="35" spans="1:26" x14ac:dyDescent="0.25">
      <c r="A35" s="24">
        <v>2</v>
      </c>
      <c r="B35" t="s">
        <v>588</v>
      </c>
      <c r="C35">
        <v>8</v>
      </c>
      <c r="D35" t="s">
        <v>589</v>
      </c>
      <c r="E35">
        <v>5</v>
      </c>
      <c r="L35" s="20"/>
      <c r="M35" s="20"/>
      <c r="N35" s="20"/>
      <c r="O35" s="20"/>
      <c r="P35" s="20"/>
      <c r="Q35" s="20"/>
      <c r="R35" s="20"/>
      <c r="S35" s="20"/>
      <c r="T35" s="20"/>
      <c r="U35" s="20"/>
      <c r="V35" s="20"/>
      <c r="W35" s="20"/>
      <c r="X35" s="20"/>
      <c r="Y35" s="20"/>
      <c r="Z35" s="20"/>
    </row>
    <row r="36" spans="1:26" x14ac:dyDescent="0.25">
      <c r="A36" s="24">
        <v>6</v>
      </c>
      <c r="B36" t="s">
        <v>590</v>
      </c>
      <c r="C36">
        <v>13</v>
      </c>
      <c r="D36" t="s">
        <v>591</v>
      </c>
      <c r="E36">
        <v>11</v>
      </c>
      <c r="L36" s="20"/>
      <c r="M36" s="20"/>
      <c r="N36" s="20"/>
      <c r="O36" s="20"/>
      <c r="P36" s="20"/>
      <c r="Q36" s="20"/>
      <c r="R36" s="20"/>
      <c r="S36" s="20"/>
      <c r="T36" s="20"/>
      <c r="U36" s="20"/>
      <c r="V36" s="20"/>
      <c r="W36" s="20"/>
      <c r="X36" s="20"/>
      <c r="Y36" s="20"/>
      <c r="Z36" s="20"/>
    </row>
    <row r="37" spans="1:26" x14ac:dyDescent="0.25">
      <c r="A37" s="24">
        <v>2</v>
      </c>
      <c r="B37" t="s">
        <v>592</v>
      </c>
      <c r="C37">
        <v>8</v>
      </c>
      <c r="D37" t="s">
        <v>589</v>
      </c>
      <c r="E37">
        <v>5</v>
      </c>
      <c r="L37" s="20"/>
      <c r="M37" s="20"/>
      <c r="N37" s="20"/>
      <c r="O37" s="20"/>
      <c r="P37" s="20"/>
      <c r="Q37" s="20"/>
      <c r="R37" s="20"/>
      <c r="S37" s="20"/>
      <c r="T37" s="20"/>
      <c r="U37" s="20"/>
      <c r="V37" s="20"/>
      <c r="W37" s="20"/>
      <c r="X37" s="20"/>
      <c r="Y37" s="20"/>
      <c r="Z37" s="20"/>
    </row>
    <row r="38" spans="1:26" x14ac:dyDescent="0.25">
      <c r="A38" s="24">
        <v>2</v>
      </c>
      <c r="B38" t="s">
        <v>593</v>
      </c>
      <c r="C38">
        <v>8</v>
      </c>
      <c r="D38" t="s">
        <v>594</v>
      </c>
      <c r="E38">
        <v>7</v>
      </c>
      <c r="K38">
        <f>SUM(A35:A38)/10</f>
        <v>1.2</v>
      </c>
      <c r="L38" s="20"/>
      <c r="M38" s="20"/>
      <c r="N38" s="20"/>
      <c r="O38" s="20"/>
      <c r="P38" s="20"/>
      <c r="Q38" s="20"/>
      <c r="R38" s="20"/>
      <c r="S38" s="20"/>
      <c r="T38" s="20"/>
      <c r="U38" s="20"/>
      <c r="V38" s="20"/>
      <c r="W38" s="20"/>
      <c r="X38" s="20"/>
      <c r="Y38" s="20"/>
      <c r="Z38" s="20"/>
    </row>
    <row r="39" spans="1:26" x14ac:dyDescent="0.25">
      <c r="L39" s="20"/>
      <c r="M39" s="20"/>
      <c r="N39" s="20"/>
      <c r="O39" s="20"/>
      <c r="P39" s="20"/>
      <c r="Q39" s="20"/>
      <c r="R39" s="20"/>
      <c r="S39" s="20"/>
      <c r="T39" s="20"/>
      <c r="U39" s="20"/>
      <c r="V39" s="20"/>
      <c r="W39" s="20"/>
      <c r="X39" s="20"/>
      <c r="Y39" s="20"/>
      <c r="Z39" s="20"/>
    </row>
    <row r="40" spans="1:26" x14ac:dyDescent="0.25">
      <c r="A40" s="3" t="s">
        <v>595</v>
      </c>
      <c r="K40">
        <v>5</v>
      </c>
      <c r="L40" s="20"/>
      <c r="M40" s="20"/>
      <c r="N40" s="20"/>
      <c r="O40" s="20"/>
      <c r="P40" s="20"/>
      <c r="Q40" s="20"/>
      <c r="R40" s="20"/>
      <c r="S40" s="20"/>
      <c r="T40" s="20"/>
      <c r="U40" s="20"/>
      <c r="V40" s="20"/>
      <c r="W40" s="20"/>
      <c r="X40" s="20"/>
      <c r="Y40" s="20"/>
      <c r="Z40" s="20"/>
    </row>
    <row r="41" spans="1:26" x14ac:dyDescent="0.25">
      <c r="B41" t="s">
        <v>596</v>
      </c>
      <c r="C41" s="24">
        <v>1</v>
      </c>
      <c r="D41" s="24" t="s">
        <v>597</v>
      </c>
      <c r="E41" s="24"/>
      <c r="L41" s="20"/>
      <c r="M41" s="20"/>
      <c r="N41" s="20"/>
      <c r="O41" s="20"/>
      <c r="P41" s="20"/>
      <c r="Q41" s="20"/>
      <c r="R41" s="20"/>
      <c r="S41" s="20"/>
      <c r="T41" s="20"/>
      <c r="U41" s="20"/>
      <c r="V41" s="20"/>
      <c r="W41" s="20"/>
      <c r="X41" s="20"/>
      <c r="Y41" s="20"/>
      <c r="Z41" s="20"/>
    </row>
    <row r="42" spans="1:26" x14ac:dyDescent="0.25">
      <c r="C42" s="24">
        <v>0</v>
      </c>
      <c r="D42" s="24" t="s">
        <v>598</v>
      </c>
      <c r="E42" s="24"/>
      <c r="J42">
        <f>30*SUM(C41:C42)</f>
        <v>30</v>
      </c>
      <c r="L42" s="20"/>
      <c r="M42" s="20"/>
      <c r="N42" s="20"/>
      <c r="O42" s="20"/>
      <c r="P42" s="20"/>
      <c r="Q42" s="20"/>
      <c r="R42" s="20"/>
      <c r="S42" s="20"/>
      <c r="T42" s="20"/>
      <c r="U42" s="20"/>
      <c r="V42" s="20"/>
      <c r="W42" s="20"/>
      <c r="X42" s="20"/>
      <c r="Y42" s="20"/>
      <c r="Z42" s="20"/>
    </row>
    <row r="43" spans="1:26" x14ac:dyDescent="0.25">
      <c r="B43" t="s">
        <v>599</v>
      </c>
      <c r="C43" s="24">
        <v>0</v>
      </c>
      <c r="D43" s="24" t="s">
        <v>600</v>
      </c>
      <c r="E43" s="24"/>
      <c r="L43" s="20"/>
      <c r="M43" s="20"/>
      <c r="N43" s="20"/>
      <c r="O43" s="20"/>
      <c r="P43" s="20"/>
      <c r="Q43" s="20"/>
      <c r="R43" s="20"/>
      <c r="S43" s="20"/>
      <c r="T43" s="20"/>
      <c r="U43" s="20"/>
      <c r="V43" s="20"/>
      <c r="W43" s="20"/>
      <c r="X43" s="20"/>
      <c r="Y43" s="20"/>
      <c r="Z43" s="20"/>
    </row>
    <row r="44" spans="1:26" x14ac:dyDescent="0.25">
      <c r="C44" s="24">
        <v>0</v>
      </c>
      <c r="D44" s="24" t="s">
        <v>601</v>
      </c>
      <c r="E44" s="24"/>
      <c r="J44">
        <f>20*SUM(C43:C44)</f>
        <v>0</v>
      </c>
      <c r="L44" s="20"/>
      <c r="M44" s="20"/>
      <c r="N44" s="20"/>
      <c r="O44" s="20"/>
      <c r="P44" s="20"/>
      <c r="Q44" s="20"/>
      <c r="R44" s="20"/>
      <c r="S44" s="20"/>
      <c r="T44" s="20"/>
      <c r="U44" s="20"/>
      <c r="V44" s="20"/>
      <c r="W44" s="20"/>
      <c r="X44" s="20"/>
      <c r="Y44" s="20"/>
      <c r="Z44" s="20"/>
    </row>
    <row r="45" spans="1:26" x14ac:dyDescent="0.25">
      <c r="B45" t="s">
        <v>602</v>
      </c>
      <c r="C45" s="24">
        <v>0</v>
      </c>
      <c r="D45" s="24" t="s">
        <v>603</v>
      </c>
      <c r="E45" s="24"/>
      <c r="L45" s="20"/>
      <c r="M45" s="20"/>
      <c r="N45" s="20"/>
      <c r="O45" s="20"/>
      <c r="P45" s="20"/>
      <c r="Q45" s="20"/>
      <c r="R45" s="20"/>
      <c r="S45" s="20"/>
      <c r="T45" s="20"/>
      <c r="U45" s="20"/>
      <c r="V45" s="20"/>
      <c r="W45" s="20"/>
      <c r="X45" s="20"/>
      <c r="Y45" s="20"/>
      <c r="Z45" s="20"/>
    </row>
    <row r="46" spans="1:26" x14ac:dyDescent="0.25">
      <c r="B46" t="s">
        <v>604</v>
      </c>
      <c r="C46" s="24">
        <v>0</v>
      </c>
      <c r="D46" s="24" t="s">
        <v>605</v>
      </c>
      <c r="E46" s="24"/>
      <c r="J46">
        <f>15*SUM(C45:C46)</f>
        <v>0</v>
      </c>
      <c r="L46" s="20"/>
      <c r="M46" s="20"/>
      <c r="N46" s="20"/>
      <c r="O46" s="20"/>
      <c r="P46" s="20"/>
      <c r="Q46" s="20"/>
      <c r="R46" s="20"/>
      <c r="S46" s="20"/>
      <c r="T46" s="20"/>
      <c r="U46" s="20"/>
      <c r="V46" s="20"/>
      <c r="W46" s="20"/>
      <c r="X46" s="20"/>
      <c r="Y46" s="20"/>
      <c r="Z46" s="20"/>
    </row>
    <row r="47" spans="1:26" x14ac:dyDescent="0.25">
      <c r="B47" t="s">
        <v>606</v>
      </c>
      <c r="C47" s="24">
        <v>0</v>
      </c>
      <c r="D47" s="24" t="s">
        <v>607</v>
      </c>
      <c r="E47" s="24"/>
      <c r="L47" s="20"/>
      <c r="M47" s="20"/>
      <c r="N47" s="20"/>
      <c r="O47" s="20"/>
      <c r="P47" s="20"/>
      <c r="Q47" s="20"/>
      <c r="R47" s="20"/>
      <c r="S47" s="20"/>
      <c r="T47" s="20"/>
      <c r="U47" s="20"/>
      <c r="V47" s="20"/>
      <c r="W47" s="20"/>
      <c r="X47" s="20"/>
      <c r="Y47" s="20"/>
      <c r="Z47" s="20"/>
    </row>
    <row r="48" spans="1:26" x14ac:dyDescent="0.25">
      <c r="B48" t="s">
        <v>608</v>
      </c>
      <c r="C48" s="24">
        <v>0</v>
      </c>
      <c r="D48" s="24" t="s">
        <v>607</v>
      </c>
      <c r="E48" s="24"/>
      <c r="L48" s="20"/>
      <c r="M48" s="20"/>
      <c r="N48" s="20"/>
      <c r="O48" s="20"/>
      <c r="P48" s="20"/>
      <c r="Q48" s="20"/>
      <c r="R48" s="20"/>
      <c r="S48" s="20"/>
      <c r="T48" s="20"/>
      <c r="U48" s="20"/>
      <c r="V48" s="20"/>
      <c r="W48" s="20"/>
      <c r="X48" s="20"/>
      <c r="Y48" s="20"/>
      <c r="Z48" s="20"/>
    </row>
    <row r="49" spans="2:26" x14ac:dyDescent="0.25">
      <c r="C49" s="24">
        <v>1</v>
      </c>
      <c r="D49" s="24" t="s">
        <v>609</v>
      </c>
      <c r="E49" s="24"/>
      <c r="L49" s="20"/>
      <c r="M49" s="20"/>
      <c r="N49" s="20"/>
      <c r="O49" s="20"/>
      <c r="P49" s="20"/>
      <c r="Q49" s="20"/>
      <c r="R49" s="20"/>
      <c r="S49" s="20"/>
      <c r="T49" s="20"/>
      <c r="U49" s="20"/>
      <c r="V49" s="20"/>
      <c r="W49" s="20"/>
      <c r="X49" s="20"/>
      <c r="Y49" s="20"/>
      <c r="Z49" s="20"/>
    </row>
    <row r="50" spans="2:26" x14ac:dyDescent="0.25">
      <c r="C50" s="24">
        <v>1</v>
      </c>
      <c r="D50" s="24" t="s">
        <v>610</v>
      </c>
      <c r="E50" s="24"/>
      <c r="J50">
        <f>10*SUM(C47:C50)</f>
        <v>20</v>
      </c>
      <c r="L50" s="20"/>
      <c r="M50" s="20"/>
      <c r="N50" s="20"/>
      <c r="O50" s="20"/>
      <c r="P50" s="20"/>
      <c r="Q50" s="20"/>
      <c r="R50" s="20"/>
      <c r="S50" s="20"/>
      <c r="T50" s="20"/>
      <c r="U50" s="20"/>
      <c r="V50" s="20"/>
      <c r="W50" s="20"/>
      <c r="X50" s="20"/>
      <c r="Y50" s="20"/>
      <c r="Z50" s="20"/>
    </row>
    <row r="51" spans="2:26" x14ac:dyDescent="0.25">
      <c r="B51" t="s">
        <v>611</v>
      </c>
      <c r="C51" s="24">
        <v>0</v>
      </c>
      <c r="D51" s="24" t="s">
        <v>612</v>
      </c>
      <c r="E51" s="24">
        <v>0</v>
      </c>
      <c r="J51">
        <f>5*C51*E51</f>
        <v>0</v>
      </c>
      <c r="L51" s="20"/>
      <c r="M51" s="20"/>
      <c r="N51" s="20"/>
      <c r="O51" s="20"/>
      <c r="P51" s="20"/>
      <c r="Q51" s="20"/>
      <c r="R51" s="20"/>
      <c r="S51" s="20"/>
      <c r="T51" s="20"/>
      <c r="U51" s="20"/>
      <c r="V51" s="20"/>
      <c r="W51" s="20"/>
      <c r="X51" s="20"/>
      <c r="Y51" s="20"/>
      <c r="Z51" s="20"/>
    </row>
    <row r="52" spans="2:26" x14ac:dyDescent="0.25">
      <c r="B52" t="s">
        <v>613</v>
      </c>
      <c r="C52">
        <v>35</v>
      </c>
      <c r="D52" s="24" t="s">
        <v>614</v>
      </c>
      <c r="J52">
        <f>C52/2</f>
        <v>17.5</v>
      </c>
      <c r="L52" s="20"/>
      <c r="M52" s="20"/>
      <c r="N52" s="20"/>
      <c r="O52" s="20"/>
      <c r="P52" s="20"/>
      <c r="Q52" s="20"/>
      <c r="R52" s="20"/>
      <c r="S52" s="20"/>
      <c r="T52" s="20"/>
      <c r="U52" s="20"/>
      <c r="V52" s="20"/>
      <c r="W52" s="20"/>
      <c r="X52" s="20"/>
      <c r="Y52" s="20"/>
      <c r="Z52" s="20"/>
    </row>
    <row r="53" spans="2:26" x14ac:dyDescent="0.25">
      <c r="B53" t="s">
        <v>615</v>
      </c>
      <c r="C53">
        <v>6</v>
      </c>
      <c r="D53" t="s">
        <v>616</v>
      </c>
      <c r="J53">
        <f>2*C53</f>
        <v>12</v>
      </c>
      <c r="L53" s="20"/>
      <c r="M53" s="20"/>
      <c r="N53" s="20"/>
      <c r="O53" s="20"/>
      <c r="P53" s="20"/>
      <c r="Q53" s="20"/>
      <c r="R53" s="20"/>
      <c r="S53" s="20"/>
      <c r="T53" s="20"/>
      <c r="U53" s="20"/>
      <c r="V53" s="20"/>
      <c r="W53" s="20"/>
      <c r="X53" s="20"/>
      <c r="Y53" s="20"/>
      <c r="Z53" s="20"/>
    </row>
    <row r="54" spans="2:26" x14ac:dyDescent="0.25">
      <c r="B54" t="s">
        <v>617</v>
      </c>
      <c r="J54">
        <v>2</v>
      </c>
      <c r="L54" s="20"/>
      <c r="M54" s="20"/>
      <c r="N54" s="20"/>
      <c r="O54" s="20"/>
      <c r="P54" s="20"/>
      <c r="Q54" s="20"/>
      <c r="R54" s="20"/>
      <c r="S54" s="20"/>
      <c r="T54" s="20"/>
      <c r="U54" s="20"/>
      <c r="V54" s="20"/>
      <c r="W54" s="20"/>
      <c r="X54" s="20"/>
      <c r="Y54" s="20"/>
      <c r="Z54" s="20"/>
    </row>
    <row r="55" spans="2:26" x14ac:dyDescent="0.25">
      <c r="B55" t="s">
        <v>618</v>
      </c>
      <c r="J55">
        <v>3</v>
      </c>
      <c r="L55" s="20"/>
      <c r="M55" s="20"/>
      <c r="N55" s="20"/>
      <c r="O55" s="20"/>
      <c r="P55" s="20"/>
      <c r="Q55" s="20"/>
      <c r="R55" s="20"/>
      <c r="S55" s="20"/>
      <c r="T55" s="20"/>
      <c r="U55" s="20"/>
      <c r="V55" s="20"/>
      <c r="W55" s="20"/>
      <c r="X55" s="20"/>
      <c r="Y55" s="20"/>
      <c r="Z55" s="20"/>
    </row>
    <row r="56" spans="2:26" x14ac:dyDescent="0.25">
      <c r="B56" t="s">
        <v>619</v>
      </c>
      <c r="J56">
        <v>5</v>
      </c>
      <c r="L56" s="20"/>
      <c r="M56" s="20"/>
      <c r="N56" s="20"/>
      <c r="O56" s="20"/>
      <c r="P56" s="20"/>
      <c r="Q56" s="20"/>
      <c r="R56" s="20"/>
      <c r="S56" s="20"/>
      <c r="T56" s="20"/>
      <c r="U56" s="20"/>
      <c r="V56" s="20"/>
      <c r="W56" s="20"/>
      <c r="X56" s="20"/>
      <c r="Y56" s="20"/>
      <c r="Z56" s="20"/>
    </row>
    <row r="57" spans="2:26" x14ac:dyDescent="0.25">
      <c r="B57" t="s">
        <v>1019</v>
      </c>
      <c r="L57" s="20"/>
      <c r="M57" s="20"/>
      <c r="N57" s="20"/>
      <c r="O57" s="20"/>
      <c r="P57" s="20"/>
      <c r="Q57" s="20"/>
      <c r="R57" s="20"/>
      <c r="S57" s="20"/>
      <c r="T57" s="20"/>
      <c r="U57" s="20"/>
      <c r="V57" s="20"/>
      <c r="W57" s="20"/>
      <c r="X57" s="20"/>
      <c r="Y57" s="20"/>
      <c r="Z57" s="20"/>
    </row>
    <row r="58" spans="2:26" x14ac:dyDescent="0.25">
      <c r="B58" s="8" t="s">
        <v>584</v>
      </c>
      <c r="C58" s="8" t="s">
        <v>585</v>
      </c>
      <c r="D58" s="8" t="s">
        <v>265</v>
      </c>
      <c r="E58" s="8" t="s">
        <v>586</v>
      </c>
      <c r="F58" s="1" t="s">
        <v>587</v>
      </c>
      <c r="L58" s="20"/>
      <c r="M58" s="20"/>
      <c r="N58" s="20"/>
      <c r="O58" s="20"/>
      <c r="P58" s="20"/>
      <c r="Q58" s="20"/>
      <c r="R58" s="20"/>
      <c r="S58" s="20"/>
      <c r="T58" s="20"/>
      <c r="U58" s="20"/>
      <c r="V58" s="20"/>
      <c r="W58" s="20"/>
      <c r="X58" s="20"/>
      <c r="Y58" s="20"/>
      <c r="Z58" s="20"/>
    </row>
    <row r="59" spans="2:26" x14ac:dyDescent="0.25">
      <c r="B59" s="24">
        <v>3</v>
      </c>
      <c r="C59" s="8" t="s">
        <v>588</v>
      </c>
      <c r="D59" s="8">
        <v>8</v>
      </c>
      <c r="E59" s="8" t="s">
        <v>1020</v>
      </c>
      <c r="F59" s="8">
        <v>6</v>
      </c>
      <c r="L59" s="20"/>
      <c r="M59" s="20"/>
      <c r="N59" s="20"/>
      <c r="O59" s="20"/>
      <c r="P59" s="20"/>
      <c r="Q59" s="20"/>
      <c r="R59" s="20"/>
      <c r="S59" s="20"/>
      <c r="T59" s="20"/>
      <c r="U59" s="20"/>
      <c r="V59" s="20"/>
      <c r="W59" s="20"/>
      <c r="X59" s="20"/>
      <c r="Y59" s="20"/>
      <c r="Z59" s="20"/>
    </row>
    <row r="60" spans="2:26" x14ac:dyDescent="0.25">
      <c r="B60" s="24">
        <v>3</v>
      </c>
      <c r="C60" s="8" t="s">
        <v>590</v>
      </c>
      <c r="D60" s="8">
        <v>13</v>
      </c>
      <c r="E60" s="8" t="s">
        <v>591</v>
      </c>
      <c r="F60" s="8">
        <v>6</v>
      </c>
      <c r="L60" s="20"/>
      <c r="M60" s="20"/>
      <c r="N60" s="20"/>
      <c r="O60" s="20"/>
      <c r="P60" s="20"/>
      <c r="Q60" s="20"/>
      <c r="R60" s="20"/>
      <c r="S60" s="20"/>
      <c r="T60" s="20"/>
      <c r="U60" s="20"/>
      <c r="V60" s="20"/>
      <c r="W60" s="20"/>
      <c r="X60" s="20"/>
      <c r="Y60" s="20"/>
      <c r="Z60" s="20"/>
    </row>
    <row r="61" spans="2:26" x14ac:dyDescent="0.25">
      <c r="B61" s="24">
        <v>4</v>
      </c>
      <c r="C61" s="8" t="s">
        <v>592</v>
      </c>
      <c r="D61" s="8">
        <v>13</v>
      </c>
      <c r="E61" s="8" t="s">
        <v>1021</v>
      </c>
      <c r="F61" s="8">
        <v>13</v>
      </c>
      <c r="L61" s="20"/>
      <c r="M61" s="20"/>
      <c r="N61" s="20"/>
      <c r="O61" s="20"/>
      <c r="P61" s="20"/>
      <c r="Q61" s="20"/>
      <c r="R61" s="20"/>
      <c r="S61" s="20"/>
      <c r="T61" s="20"/>
      <c r="U61" s="20"/>
      <c r="V61" s="20"/>
      <c r="W61" s="20"/>
      <c r="X61" s="20"/>
      <c r="Y61" s="20"/>
      <c r="Z61" s="20"/>
    </row>
    <row r="62" spans="2:26" x14ac:dyDescent="0.25">
      <c r="B62" s="24">
        <v>3</v>
      </c>
      <c r="C62" s="8" t="s">
        <v>593</v>
      </c>
      <c r="D62" s="8">
        <v>13</v>
      </c>
      <c r="E62" s="8" t="s">
        <v>1022</v>
      </c>
      <c r="F62" s="8">
        <v>10</v>
      </c>
      <c r="J62">
        <f>SUM(B59:B62)/10</f>
        <v>1.3</v>
      </c>
      <c r="L62" s="20"/>
      <c r="M62" s="20"/>
      <c r="N62" s="20"/>
      <c r="O62" s="20"/>
      <c r="P62" s="20"/>
      <c r="Q62" s="20"/>
      <c r="R62" s="20"/>
      <c r="S62" s="20"/>
      <c r="T62" s="20"/>
      <c r="U62" s="20"/>
      <c r="V62" s="20"/>
      <c r="W62" s="20"/>
      <c r="X62" s="20"/>
      <c r="Y62" s="20"/>
      <c r="Z62" s="20"/>
    </row>
    <row r="63" spans="2:26" x14ac:dyDescent="0.25">
      <c r="L63" s="20"/>
      <c r="M63" s="20"/>
      <c r="N63" s="20"/>
      <c r="O63" s="20"/>
      <c r="P63" s="20"/>
      <c r="Q63" s="20"/>
      <c r="R63" s="20"/>
      <c r="S63" s="20"/>
      <c r="T63" s="20"/>
      <c r="U63" s="20"/>
      <c r="V63" s="20"/>
      <c r="W63" s="20"/>
      <c r="X63" s="20"/>
      <c r="Y63" s="20"/>
      <c r="Z63" s="20"/>
    </row>
    <row r="64" spans="2:26" x14ac:dyDescent="0.25">
      <c r="B64" s="24" t="s">
        <v>620</v>
      </c>
      <c r="C64" s="24"/>
      <c r="D64" s="24"/>
      <c r="E64" s="24"/>
      <c r="F64" s="24"/>
      <c r="G64" s="24"/>
      <c r="H64" s="24"/>
      <c r="I64" s="24"/>
      <c r="J64" s="24"/>
      <c r="L64" s="20"/>
      <c r="M64" s="20"/>
      <c r="N64" s="20"/>
      <c r="O64" s="20"/>
      <c r="P64" s="20"/>
      <c r="Q64" s="20"/>
      <c r="R64" s="20"/>
      <c r="S64" s="20"/>
      <c r="T64" s="20"/>
      <c r="U64" s="20"/>
      <c r="V64" s="20"/>
      <c r="W64" s="20"/>
      <c r="X64" s="20"/>
      <c r="Y64" s="20"/>
      <c r="Z64" s="20"/>
    </row>
    <row r="65" spans="1:26" x14ac:dyDescent="0.25">
      <c r="A65" t="s">
        <v>621</v>
      </c>
      <c r="B65">
        <v>300</v>
      </c>
      <c r="K65">
        <f>SUM(J41:J65)</f>
        <v>90.8</v>
      </c>
      <c r="L65" s="20"/>
      <c r="M65" s="20"/>
      <c r="N65" s="20"/>
      <c r="O65" s="20"/>
      <c r="P65" s="20"/>
      <c r="Q65" s="20"/>
      <c r="R65" s="20"/>
      <c r="S65" s="20"/>
      <c r="T65" s="20"/>
      <c r="U65" s="20"/>
      <c r="V65" s="20"/>
      <c r="W65" s="20"/>
      <c r="X65" s="20"/>
      <c r="Y65" s="20"/>
      <c r="Z65" s="20"/>
    </row>
    <row r="66" spans="1:26" x14ac:dyDescent="0.25">
      <c r="L66" s="20"/>
      <c r="M66" s="20"/>
      <c r="N66" s="20"/>
      <c r="O66" s="20"/>
      <c r="P66" s="20"/>
      <c r="Q66" s="20"/>
      <c r="R66" s="20"/>
      <c r="S66" s="20"/>
      <c r="T66" s="20"/>
      <c r="U66" s="20"/>
      <c r="V66" s="20"/>
      <c r="W66" s="20"/>
      <c r="X66" s="20"/>
      <c r="Y66" s="20"/>
      <c r="Z66" s="20"/>
    </row>
    <row r="67" spans="1:26" x14ac:dyDescent="0.25">
      <c r="A67" s="3" t="s">
        <v>622</v>
      </c>
      <c r="C67" s="24">
        <v>40</v>
      </c>
      <c r="D67" t="s">
        <v>623</v>
      </c>
      <c r="E67" s="24" t="s">
        <v>624</v>
      </c>
      <c r="K67">
        <f>2+C67</f>
        <v>42</v>
      </c>
      <c r="L67" s="20"/>
      <c r="M67" s="20"/>
      <c r="N67" s="20"/>
      <c r="O67" s="20"/>
      <c r="P67" s="20"/>
      <c r="Q67" s="20"/>
      <c r="R67" s="20"/>
      <c r="S67" s="20"/>
      <c r="T67" s="20"/>
      <c r="U67" s="20"/>
      <c r="V67" s="20"/>
      <c r="W67" s="20"/>
      <c r="X67" s="20"/>
      <c r="Y67" s="20"/>
      <c r="Z67" s="20"/>
    </row>
    <row r="68" spans="1:26" x14ac:dyDescent="0.25">
      <c r="A68" t="s">
        <v>621</v>
      </c>
      <c r="C68" s="24">
        <v>2</v>
      </c>
      <c r="D68" t="s">
        <v>625</v>
      </c>
      <c r="L68" s="20"/>
      <c r="M68" s="20"/>
      <c r="N68" s="20"/>
      <c r="O68" s="20"/>
      <c r="P68" s="20"/>
      <c r="Q68" s="20"/>
      <c r="R68" s="20"/>
      <c r="S68" s="20"/>
      <c r="T68" s="20"/>
      <c r="U68" s="20"/>
      <c r="V68" s="20"/>
      <c r="W68" s="20"/>
      <c r="X68" s="20"/>
      <c r="Y68" s="20"/>
      <c r="Z68" s="20"/>
    </row>
    <row r="69" spans="1:26" x14ac:dyDescent="0.25">
      <c r="L69" s="20"/>
      <c r="M69" s="20"/>
      <c r="N69" s="20"/>
      <c r="O69" s="20"/>
      <c r="P69" s="20"/>
      <c r="Q69" s="20"/>
      <c r="R69" s="20"/>
      <c r="S69" s="20"/>
      <c r="T69" s="20"/>
      <c r="U69" s="20"/>
      <c r="V69" s="20"/>
      <c r="W69" s="20"/>
      <c r="X69" s="20"/>
      <c r="Y69" s="20"/>
      <c r="Z69" s="20"/>
    </row>
    <row r="70" spans="1:26" x14ac:dyDescent="0.25">
      <c r="A70" s="3" t="s">
        <v>626</v>
      </c>
      <c r="K70">
        <f>SUM(A71:J71)</f>
        <v>10</v>
      </c>
      <c r="L70" s="20"/>
      <c r="M70" s="20"/>
      <c r="N70" s="20"/>
      <c r="O70" s="20"/>
      <c r="P70" s="20"/>
      <c r="Q70" s="20"/>
      <c r="R70" s="20"/>
      <c r="S70" s="20"/>
      <c r="T70" s="20"/>
      <c r="U70" s="20"/>
      <c r="V70" s="20"/>
      <c r="W70" s="20"/>
      <c r="X70" s="20"/>
      <c r="Y70" s="20"/>
      <c r="Z70" s="20"/>
    </row>
    <row r="71" spans="1:26" x14ac:dyDescent="0.25">
      <c r="A71" s="24">
        <v>0</v>
      </c>
      <c r="B71" t="s">
        <v>627</v>
      </c>
      <c r="C71" s="24">
        <v>5</v>
      </c>
      <c r="D71" t="s">
        <v>52</v>
      </c>
      <c r="E71" s="24">
        <v>5</v>
      </c>
      <c r="F71" t="s">
        <v>628</v>
      </c>
      <c r="G71" s="24">
        <v>0</v>
      </c>
      <c r="H71" t="s">
        <v>629</v>
      </c>
      <c r="I71" s="24">
        <v>0</v>
      </c>
      <c r="J71" t="s">
        <v>630</v>
      </c>
      <c r="L71" s="20"/>
      <c r="M71" s="20"/>
      <c r="N71" s="20"/>
      <c r="O71" s="20"/>
      <c r="P71" s="20"/>
      <c r="Q71" s="20"/>
      <c r="R71" s="20"/>
      <c r="S71" s="20"/>
      <c r="T71" s="20"/>
      <c r="U71" s="20"/>
      <c r="V71" s="20"/>
      <c r="W71" s="20"/>
      <c r="X71" s="20"/>
      <c r="Y71" s="20"/>
      <c r="Z71" s="20"/>
    </row>
    <row r="72" spans="1:26" x14ac:dyDescent="0.25">
      <c r="L72" s="20"/>
      <c r="M72" s="20"/>
      <c r="N72" s="20"/>
      <c r="O72" s="20"/>
      <c r="P72" s="20"/>
      <c r="Q72" s="20"/>
      <c r="R72" s="20"/>
      <c r="S72" s="20"/>
      <c r="T72" s="20"/>
      <c r="U72" s="20"/>
      <c r="V72" s="20"/>
      <c r="W72" s="20"/>
      <c r="X72" s="20"/>
      <c r="Y72" s="20"/>
      <c r="Z72" s="20"/>
    </row>
    <row r="73" spans="1:26" x14ac:dyDescent="0.25">
      <c r="D73" s="8"/>
      <c r="J73" s="5" t="s">
        <v>1018</v>
      </c>
      <c r="K73" s="195">
        <f>SUM(K5:K70)</f>
        <v>953</v>
      </c>
      <c r="L73" s="20"/>
      <c r="M73" s="20"/>
      <c r="N73" s="20"/>
      <c r="O73" s="20"/>
      <c r="P73" s="20"/>
      <c r="Q73" s="20"/>
      <c r="R73" s="20"/>
      <c r="S73" s="20"/>
      <c r="T73" s="20"/>
      <c r="U73" s="20"/>
      <c r="V73" s="20"/>
      <c r="W73" s="20"/>
      <c r="X73" s="20"/>
      <c r="Y73" s="20"/>
      <c r="Z73" s="20"/>
    </row>
    <row r="74" spans="1:26" x14ac:dyDescent="0.25">
      <c r="C74" s="5" t="s">
        <v>1364</v>
      </c>
      <c r="D74" s="8" t="str">
        <f ca="1">VLOOKUP(MAX(0,Encumbrance_Total-Carrying_Capacity),F77:I82,4,TRUE)</f>
        <v>* 1/2</v>
      </c>
      <c r="E74" s="226" t="str">
        <f ca="1">IF(K74&gt;=K73,"","REDUCED")</f>
        <v>REDUCED</v>
      </c>
      <c r="J74" s="5" t="s">
        <v>631</v>
      </c>
      <c r="K74" s="195">
        <f ca="1">750+(50*(St-10))</f>
        <v>650</v>
      </c>
      <c r="L74" s="20"/>
      <c r="M74" s="20"/>
      <c r="N74" s="20"/>
      <c r="O74" s="20"/>
      <c r="P74" s="20"/>
      <c r="Q74" s="20"/>
      <c r="R74" s="20"/>
      <c r="S74" s="20"/>
      <c r="T74" s="20"/>
      <c r="U74" s="20"/>
      <c r="V74" s="20"/>
      <c r="W74" s="20"/>
      <c r="X74" s="20"/>
      <c r="Y74" s="20"/>
      <c r="Z74" s="20"/>
    </row>
    <row r="75" spans="1:26" x14ac:dyDescent="0.25">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x14ac:dyDescent="0.25">
      <c r="A76" s="23" t="s">
        <v>632</v>
      </c>
      <c r="B76" s="20"/>
      <c r="C76" s="23" t="s">
        <v>266</v>
      </c>
      <c r="D76" s="20" t="s">
        <v>633</v>
      </c>
      <c r="E76" s="285"/>
      <c r="F76" s="286"/>
      <c r="G76" s="286"/>
      <c r="H76" s="293" t="s">
        <v>1363</v>
      </c>
      <c r="I76" s="296" t="s">
        <v>1362</v>
      </c>
      <c r="J76" s="287"/>
      <c r="K76" s="20"/>
      <c r="L76" s="20"/>
      <c r="M76" s="20"/>
      <c r="N76" s="20"/>
      <c r="O76" s="20"/>
      <c r="P76" s="20"/>
      <c r="Q76" s="20"/>
      <c r="R76" s="20"/>
      <c r="S76" s="20"/>
      <c r="T76" s="20"/>
      <c r="U76" s="20"/>
      <c r="V76" s="20"/>
      <c r="W76" s="20"/>
      <c r="X76" s="20"/>
      <c r="Y76" s="20"/>
      <c r="Z76" s="20"/>
    </row>
    <row r="77" spans="1:26" x14ac:dyDescent="0.25">
      <c r="A77" s="20" t="s">
        <v>634</v>
      </c>
      <c r="B77" s="20"/>
      <c r="C77" s="20"/>
      <c r="D77" s="20"/>
      <c r="E77" s="288"/>
      <c r="F77" s="299">
        <v>0</v>
      </c>
      <c r="G77" s="184"/>
      <c r="H77" s="294">
        <v>0</v>
      </c>
      <c r="I77" s="297" t="s">
        <v>1353</v>
      </c>
      <c r="J77" s="289"/>
      <c r="K77" s="20"/>
      <c r="L77" s="20"/>
      <c r="M77" s="20"/>
      <c r="N77" s="20"/>
      <c r="O77" s="20"/>
      <c r="P77" s="20"/>
      <c r="Q77" s="20"/>
      <c r="R77" s="20"/>
      <c r="S77" s="20"/>
      <c r="T77" s="20"/>
      <c r="U77" s="20"/>
      <c r="V77" s="20"/>
      <c r="W77" s="20"/>
      <c r="X77" s="20"/>
      <c r="Y77" s="20"/>
      <c r="Z77" s="20"/>
    </row>
    <row r="78" spans="1:26" x14ac:dyDescent="0.25">
      <c r="A78" s="20" t="s">
        <v>570</v>
      </c>
      <c r="B78" s="20"/>
      <c r="C78" s="103">
        <v>35</v>
      </c>
      <c r="D78" s="37">
        <v>3</v>
      </c>
      <c r="E78" s="288"/>
      <c r="F78" s="299">
        <v>1</v>
      </c>
      <c r="G78" s="184"/>
      <c r="H78" s="294" t="s">
        <v>1354</v>
      </c>
      <c r="I78" s="297" t="s">
        <v>1355</v>
      </c>
      <c r="J78" s="289"/>
      <c r="K78" s="20"/>
      <c r="L78" s="20"/>
      <c r="M78" s="20"/>
      <c r="N78" s="20"/>
      <c r="O78" s="20"/>
      <c r="P78" s="20"/>
      <c r="Q78" s="20"/>
      <c r="R78" s="20"/>
      <c r="S78" s="20"/>
      <c r="T78" s="20"/>
      <c r="U78" s="20"/>
      <c r="V78" s="20"/>
      <c r="W78" s="20"/>
      <c r="X78" s="20"/>
      <c r="Y78" s="20"/>
      <c r="Z78" s="20"/>
    </row>
    <row r="79" spans="1:26" x14ac:dyDescent="0.25">
      <c r="A79" s="20" t="s">
        <v>635</v>
      </c>
      <c r="B79" s="20"/>
      <c r="C79" s="103">
        <v>150</v>
      </c>
      <c r="D79" s="37">
        <v>6</v>
      </c>
      <c r="E79" s="288"/>
      <c r="F79" s="299">
        <v>251</v>
      </c>
      <c r="G79" s="184"/>
      <c r="H79" s="294" t="s">
        <v>1356</v>
      </c>
      <c r="I79" s="297" t="s">
        <v>1357</v>
      </c>
      <c r="J79" s="289"/>
      <c r="K79" s="20"/>
      <c r="L79" s="20"/>
      <c r="M79" s="20"/>
      <c r="N79" s="20"/>
      <c r="O79" s="20"/>
      <c r="P79" s="20"/>
      <c r="Q79" s="20"/>
      <c r="R79" s="20"/>
      <c r="S79" s="20"/>
      <c r="T79" s="20"/>
      <c r="U79" s="20"/>
      <c r="V79" s="20"/>
      <c r="W79" s="20"/>
      <c r="X79" s="20"/>
      <c r="Y79" s="20"/>
      <c r="Z79" s="20"/>
    </row>
    <row r="80" spans="1:26" x14ac:dyDescent="0.25">
      <c r="A80" s="20" t="s">
        <v>636</v>
      </c>
      <c r="B80" s="20"/>
      <c r="C80" s="103">
        <v>250</v>
      </c>
      <c r="D80" s="37">
        <v>8</v>
      </c>
      <c r="E80" s="288"/>
      <c r="F80" s="299">
        <v>751</v>
      </c>
      <c r="G80" s="184"/>
      <c r="H80" s="294" t="s">
        <v>1358</v>
      </c>
      <c r="I80" s="297" t="s">
        <v>1359</v>
      </c>
      <c r="J80" s="289"/>
      <c r="K80" s="20"/>
      <c r="L80" s="20"/>
      <c r="M80" s="20"/>
      <c r="N80" s="20"/>
      <c r="O80" s="20"/>
      <c r="P80" s="20"/>
      <c r="Q80" s="20"/>
      <c r="R80" s="20"/>
      <c r="S80" s="20"/>
      <c r="T80" s="20"/>
      <c r="U80" s="20"/>
      <c r="V80" s="20"/>
      <c r="W80" s="20"/>
      <c r="X80" s="20"/>
      <c r="Y80" s="20"/>
      <c r="Z80" s="20"/>
    </row>
    <row r="81" spans="1:26" x14ac:dyDescent="0.25">
      <c r="A81" s="20"/>
      <c r="B81" s="20"/>
      <c r="C81" s="20"/>
      <c r="D81" s="20"/>
      <c r="E81" s="288"/>
      <c r="F81" s="299">
        <v>1501</v>
      </c>
      <c r="G81" s="184"/>
      <c r="H81" s="294" t="s">
        <v>1360</v>
      </c>
      <c r="I81" s="297" t="s">
        <v>1361</v>
      </c>
      <c r="J81" s="289"/>
      <c r="K81" s="20"/>
      <c r="L81" s="20"/>
      <c r="M81" s="20"/>
      <c r="N81" s="20"/>
      <c r="O81" s="20"/>
      <c r="P81" s="20"/>
      <c r="Q81" s="20"/>
      <c r="R81" s="20"/>
      <c r="S81" s="20"/>
      <c r="T81" s="20"/>
      <c r="U81" s="20"/>
      <c r="V81" s="20"/>
      <c r="W81" s="20"/>
      <c r="X81" s="20"/>
      <c r="Y81" s="20"/>
      <c r="Z81" s="20"/>
    </row>
    <row r="82" spans="1:26" x14ac:dyDescent="0.25">
      <c r="A82" s="23" t="s">
        <v>637</v>
      </c>
      <c r="B82" s="22" t="s">
        <v>638</v>
      </c>
      <c r="C82" s="22" t="s">
        <v>266</v>
      </c>
      <c r="D82" s="20"/>
      <c r="E82" s="290"/>
      <c r="F82" s="300">
        <v>2251</v>
      </c>
      <c r="G82" s="291"/>
      <c r="H82" s="295">
        <v>2251</v>
      </c>
      <c r="I82" s="298">
        <v>0</v>
      </c>
      <c r="J82" s="292"/>
      <c r="K82" s="20"/>
      <c r="L82" s="20"/>
      <c r="M82" s="20"/>
      <c r="N82" s="20"/>
      <c r="O82" s="20"/>
      <c r="P82" s="20"/>
      <c r="Q82" s="20"/>
      <c r="R82" s="20"/>
      <c r="S82" s="20"/>
      <c r="T82" s="20"/>
      <c r="U82" s="20"/>
      <c r="V82" s="20"/>
      <c r="W82" s="20"/>
      <c r="X82" s="20"/>
      <c r="Y82" s="20"/>
      <c r="Z82" s="20"/>
    </row>
    <row r="83" spans="1:26" x14ac:dyDescent="0.25">
      <c r="A83" s="20" t="s">
        <v>639</v>
      </c>
      <c r="B83" s="20">
        <v>50</v>
      </c>
      <c r="C83" s="20">
        <f>B83</f>
        <v>50</v>
      </c>
      <c r="D83" s="20"/>
      <c r="E83" s="20"/>
      <c r="F83" s="20"/>
      <c r="G83" s="20"/>
      <c r="H83" s="20"/>
      <c r="I83" s="20"/>
      <c r="J83" s="20"/>
      <c r="K83" s="20"/>
      <c r="L83" s="20"/>
      <c r="M83" s="20"/>
      <c r="N83" s="20"/>
      <c r="O83" s="20"/>
      <c r="P83" s="20"/>
      <c r="Q83" s="20"/>
      <c r="R83" s="20"/>
      <c r="S83" s="20"/>
      <c r="T83" s="20"/>
      <c r="U83" s="20"/>
      <c r="V83" s="20"/>
      <c r="W83" s="20"/>
      <c r="X83" s="20"/>
      <c r="Y83" s="20"/>
      <c r="Z83" s="20"/>
    </row>
    <row r="84" spans="1:26" x14ac:dyDescent="0.25">
      <c r="A84" s="20" t="s">
        <v>614</v>
      </c>
      <c r="B84" s="20">
        <v>50</v>
      </c>
      <c r="C84" s="20">
        <f>B84/2</f>
        <v>25</v>
      </c>
      <c r="D84" s="20"/>
      <c r="E84" s="20"/>
      <c r="F84" s="20"/>
      <c r="G84" s="20"/>
      <c r="H84" s="20"/>
      <c r="I84" s="20"/>
      <c r="J84" s="20"/>
      <c r="K84" s="20"/>
      <c r="L84" s="20"/>
      <c r="M84" s="20"/>
      <c r="N84" s="20"/>
      <c r="O84" s="20"/>
      <c r="P84" s="20"/>
      <c r="Q84" s="20"/>
      <c r="R84" s="20"/>
      <c r="S84" s="20"/>
      <c r="T84" s="20"/>
      <c r="U84" s="20"/>
      <c r="V84" s="20"/>
      <c r="W84" s="20"/>
      <c r="X84" s="20"/>
      <c r="Y84" s="20"/>
      <c r="Z84" s="20"/>
    </row>
    <row r="85" spans="1:26" x14ac:dyDescent="0.25">
      <c r="A85" s="20" t="s">
        <v>640</v>
      </c>
      <c r="B85" s="20">
        <v>50</v>
      </c>
      <c r="C85" s="20">
        <f>B85/4</f>
        <v>12.5</v>
      </c>
      <c r="D85" s="20"/>
      <c r="E85" s="20"/>
      <c r="F85" s="20"/>
      <c r="G85" s="20"/>
      <c r="H85" s="20"/>
      <c r="I85" s="20"/>
      <c r="J85" s="20"/>
      <c r="K85" s="20"/>
      <c r="L85" s="20"/>
      <c r="M85" s="20"/>
      <c r="N85" s="20"/>
      <c r="O85" s="20"/>
      <c r="P85" s="20"/>
      <c r="Q85" s="20"/>
      <c r="R85" s="20"/>
      <c r="S85" s="20"/>
      <c r="T85" s="20"/>
      <c r="U85" s="20"/>
      <c r="V85" s="20"/>
      <c r="W85" s="20"/>
      <c r="X85" s="20"/>
      <c r="Y85" s="20"/>
      <c r="Z85" s="20"/>
    </row>
    <row r="86" spans="1:26" x14ac:dyDescent="0.25">
      <c r="A86" s="20" t="s">
        <v>641</v>
      </c>
      <c r="B86" s="20">
        <v>50</v>
      </c>
      <c r="C86" s="20">
        <f>B86/5</f>
        <v>10</v>
      </c>
      <c r="D86" s="20"/>
      <c r="E86" s="20"/>
      <c r="F86" s="20"/>
      <c r="G86" s="20"/>
      <c r="H86" s="20"/>
      <c r="I86" s="20"/>
      <c r="J86" s="20"/>
      <c r="K86" s="20"/>
      <c r="L86" s="20"/>
      <c r="M86" s="20"/>
      <c r="N86" s="20"/>
      <c r="O86" s="20"/>
      <c r="P86" s="20"/>
      <c r="Q86" s="20"/>
      <c r="R86" s="20"/>
      <c r="S86" s="20"/>
      <c r="T86" s="20"/>
      <c r="U86" s="20"/>
      <c r="V86" s="20"/>
      <c r="W86" s="20"/>
      <c r="X86" s="20"/>
      <c r="Y86" s="20"/>
      <c r="Z86" s="20"/>
    </row>
    <row r="87" spans="1:26" x14ac:dyDescent="0.25">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x14ac:dyDescent="0.25">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x14ac:dyDescent="0.25">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x14ac:dyDescent="0.25">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sheetData>
  <customSheetViews>
    <customSheetView guid="{6E0596E0-7AAC-11D3-8E0C-A109A57C585F}" showPageBreaks="1" fitToPage="1" showRuler="0">
      <selection activeCell="B42" sqref="B42"/>
      <pageMargins left="0" right="0" top="0" bottom="0" header="0" footer="0"/>
      <pageSetup paperSize="9" scale="88" orientation="portrait" horizontalDpi="300" verticalDpi="300" r:id="rId1"/>
      <headerFooter alignWithMargins="0">
        <oddHeader>&amp;F</oddHeader>
        <oddFooter>Page &amp;P</oddFooter>
      </headerFooter>
    </customSheetView>
    <customSheetView guid="{2B24E441-7B04-11D3-A790-0080C889BEB8}" fitToPage="1" showRuler="0" topLeftCell="A38">
      <selection activeCell="B42" sqref="B42"/>
      <pageMargins left="0" right="0" top="0" bottom="0" header="0" footer="0"/>
      <pageSetup paperSize="9" scale="89" orientation="portrait" horizontalDpi="300" verticalDpi="300" r:id="rId2"/>
      <headerFooter alignWithMargins="0">
        <oddHeader>&amp;F</oddHeader>
        <oddFooter>Page &amp;P</oddFooter>
      </headerFooter>
    </customSheetView>
    <customSheetView guid="{B970B037-7B70-11D3-8BF1-00A024B0442F}" fitToPage="1" showRuler="0" topLeftCell="A40">
      <selection activeCell="B42" sqref="B42"/>
      <pageMargins left="0" right="0" top="0" bottom="0" header="0" footer="0"/>
      <pageSetup paperSize="9" scale="89" orientation="portrait" horizontalDpi="300" verticalDpi="300" r:id="rId3"/>
      <headerFooter alignWithMargins="0">
        <oddHeader>&amp;F</oddHeader>
        <oddFooter>Page &amp;P</oddFooter>
      </headerFooter>
    </customSheetView>
  </customSheetViews>
  <phoneticPr fontId="0" type="noConversion"/>
  <dataValidations count="4">
    <dataValidation type="list" allowBlank="1" showInputMessage="1" showErrorMessage="1" sqref="A18" xr:uid="{00000000-0002-0000-0800-000000000000}">
      <formula1>A77:A80</formula1>
    </dataValidation>
    <dataValidation type="list" allowBlank="1" showInputMessage="1" showErrorMessage="1" sqref="C24 C20:C22 C27 C31" xr:uid="{00000000-0002-0000-0800-000001000000}">
      <formula1>"0,1,2,3,4"</formula1>
    </dataValidation>
    <dataValidation type="list" allowBlank="1" showInputMessage="1" showErrorMessage="1" promptTitle="Rope type" prompt="Select &amp; copy weight formula from table below." sqref="D52" xr:uid="{00000000-0002-0000-0800-000002000000}">
      <formula1>$A$83:$A$86</formula1>
    </dataValidation>
    <dataValidation type="list" allowBlank="1" showInputMessage="1" showErrorMessage="1" sqref="C29:C30 A35:A38 B59:B62" xr:uid="{00000000-0002-0000-0800-000003000000}">
      <formula1>"0,1,2,3,4,5,6"</formula1>
    </dataValidation>
  </dataValidations>
  <pageMargins left="0.75" right="0.75" top="1" bottom="1" header="0.5" footer="0.5"/>
  <pageSetup paperSize="9" scale="80" orientation="portrait" horizontalDpi="300" verticalDpi="300" r:id="rId4"/>
  <headerFooter alignWithMargins="0">
    <oddHeader>&amp;F</oddHeader>
    <oddFooter>Page &amp;P</oddFooter>
  </headerFooter>
  <legacyDrawing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54</vt:i4>
      </vt:variant>
    </vt:vector>
  </HeadingPairs>
  <TitlesOfParts>
    <vt:vector size="68" baseType="lpstr">
      <vt:lpstr>Characteristics &amp; Experience</vt:lpstr>
      <vt:lpstr>Personality</vt:lpstr>
      <vt:lpstr>Fighter Abilities</vt:lpstr>
      <vt:lpstr>Thief Abilities</vt:lpstr>
      <vt:lpstr>Clerical Abilities</vt:lpstr>
      <vt:lpstr>Druidic Abilities</vt:lpstr>
      <vt:lpstr>Elementalist Abilities</vt:lpstr>
      <vt:lpstr>Powers</vt:lpstr>
      <vt:lpstr>Possessions</vt:lpstr>
      <vt:lpstr>User ScratchPad</vt:lpstr>
      <vt:lpstr>Ft Weapons</vt:lpstr>
      <vt:lpstr>Size &amp; Armour</vt:lpstr>
      <vt:lpstr>SMs</vt:lpstr>
      <vt:lpstr>Ft St &amp; DxN</vt:lpstr>
      <vt:lpstr>Alignment</vt:lpstr>
      <vt:lpstr>At</vt:lpstr>
      <vt:lpstr>Bd</vt:lpstr>
      <vt:lpstr>Bt</vt:lpstr>
      <vt:lpstr>Carrying_Capacity</vt:lpstr>
      <vt:lpstr>ClL</vt:lpstr>
      <vt:lpstr>Co</vt:lpstr>
      <vt:lpstr>Credit</vt:lpstr>
      <vt:lpstr>Date</vt:lpstr>
      <vt:lpstr>DrL</vt:lpstr>
      <vt:lpstr>Dx_M</vt:lpstr>
      <vt:lpstr>Dx_Ph</vt:lpstr>
      <vt:lpstr>Dx_Ph_Penalty</vt:lpstr>
      <vt:lpstr>ElL</vt:lpstr>
      <vt:lpstr>Encumbrance_Armour</vt:lpstr>
      <vt:lpstr>Encumbrance_Total</vt:lpstr>
      <vt:lpstr>Ft</vt:lpstr>
      <vt:lpstr>FtGod</vt:lpstr>
      <vt:lpstr>FtL</vt:lpstr>
      <vt:lpstr>God</vt:lpstr>
      <vt:lpstr>Hd</vt:lpstr>
      <vt:lpstr>Hd___R</vt:lpstr>
      <vt:lpstr>HP</vt:lpstr>
      <vt:lpstr>HPs_SPs_rolls_per_level</vt:lpstr>
      <vt:lpstr>Hr</vt:lpstr>
      <vt:lpstr>In</vt:lpstr>
      <vt:lpstr>Mr</vt:lpstr>
      <vt:lpstr>MUL</vt:lpstr>
      <vt:lpstr>Name</vt:lpstr>
      <vt:lpstr>Nt</vt:lpstr>
      <vt:lpstr>PlL</vt:lpstr>
      <vt:lpstr>'Characteristics &amp; Experience'!Print_Area</vt:lpstr>
      <vt:lpstr>'Fighter Abilities'!Print_Area</vt:lpstr>
      <vt:lpstr>Possessions!Print_Area</vt:lpstr>
      <vt:lpstr>Race</vt:lpstr>
      <vt:lpstr>Selected_Melee_Weapons</vt:lpstr>
      <vt:lpstr>Sex</vt:lpstr>
      <vt:lpstr>Sg</vt:lpstr>
      <vt:lpstr>Sm</vt:lpstr>
      <vt:lpstr>SP</vt:lpstr>
      <vt:lpstr>St</vt:lpstr>
      <vt:lpstr>Switch_Weapon_Shield_Hands</vt:lpstr>
      <vt:lpstr>Sz</vt:lpstr>
      <vt:lpstr>'Size &amp; Armour'!TABLE</vt:lpstr>
      <vt:lpstr>'Size &amp; Armour'!TABLE_2</vt:lpstr>
      <vt:lpstr>'Size &amp; Armour'!TABLE_3</vt:lpstr>
      <vt:lpstr>'Size &amp; Armour'!TABLE_4</vt:lpstr>
      <vt:lpstr>Tc</vt:lpstr>
      <vt:lpstr>ThL</vt:lpstr>
      <vt:lpstr>Ts</vt:lpstr>
      <vt:lpstr>ULT_Mod</vt:lpstr>
      <vt:lpstr>USLs</vt:lpstr>
      <vt:lpstr>Wp</vt:lpstr>
      <vt:lpstr>Wp_Battles_Defensive_Table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Jungol RandomChar</dc:title>
  <dc:subject/>
  <dc:creator>P.R. Wild</dc:creator>
  <cp:keywords/>
  <dc:description/>
  <cp:lastModifiedBy>Philip Wild</cp:lastModifiedBy>
  <cp:revision/>
  <cp:lastPrinted>2024-12-11T23:32:36Z</cp:lastPrinted>
  <dcterms:created xsi:type="dcterms:W3CDTF">1999-06-27T17:13:30Z</dcterms:created>
  <dcterms:modified xsi:type="dcterms:W3CDTF">2025-01-29T16:56:59Z</dcterms:modified>
  <cp:category/>
  <cp:contentStatus/>
</cp:coreProperties>
</file>